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4940" windowHeight="8550" activeTab="0"/>
  </bookViews>
  <sheets>
    <sheet name="記入シート" sheetId="1" r:id="rId1"/>
    <sheet name="裏 １" sheetId="2" r:id="rId2"/>
    <sheet name="裏 ２" sheetId="3" r:id="rId3"/>
    <sheet name="裏 ３" sheetId="4" r:id="rId4"/>
    <sheet name="裏 ４" sheetId="5" r:id="rId5"/>
    <sheet name="裏 ５" sheetId="6" r:id="rId6"/>
    <sheet name="演算" sheetId="7" r:id="rId7"/>
  </sheets>
  <definedNames>
    <definedName name="_xlnm.Print_Area" localSheetId="0">'記入シート'!$B$1:$AD$4</definedName>
  </definedNames>
  <calcPr fullCalcOnLoad="1"/>
</workbook>
</file>

<file path=xl/sharedStrings.xml><?xml version="1.0" encoding="utf-8"?>
<sst xmlns="http://schemas.openxmlformats.org/spreadsheetml/2006/main" count="4594" uniqueCount="501">
  <si>
    <t>※　ニーズは＃１～＃５、サービス内容はそれぞれに①～⑤まで記入することができます。</t>
  </si>
  <si>
    <t>開始月の文字数</t>
  </si>
  <si>
    <t>開始月の不足字数</t>
  </si>
  <si>
    <t>開始日の文字数</t>
  </si>
  <si>
    <t>終了月の文字数</t>
  </si>
  <si>
    <t>終了月の不足字数</t>
  </si>
  <si>
    <t>開始月日</t>
  </si>
  <si>
    <t>終了月日</t>
  </si>
  <si>
    <t>開始月日を表示するために必要な行数</t>
  </si>
  <si>
    <t>開始月日に足す行数</t>
  </si>
  <si>
    <t>達成度を表示するために必要な行数</t>
  </si>
  <si>
    <t>＃１～＃５、①～⑤</t>
  </si>
  <si>
    <t>①～⑤</t>
  </si>
  <si>
    <t>サービス内容①～⑤に要した行数</t>
  </si>
  <si>
    <t>サービス内容①～⑤に要した行数は記入可能行を超えているか？</t>
  </si>
  <si>
    <t>「ニーズ」「長期目標」「短期目標」「サービス内容①～⑤」の内、一番多い行数は？</t>
  </si>
  <si>
    <t>サービス内容①～⑤に要した行数は記入可能行数を超えているか？</t>
  </si>
  <si>
    <t>サービス内容①～⑤に要した行数が記入可能行を超えているか？</t>
  </si>
  <si>
    <t>「ニーズ」「長期目標」「短期目標」「サービス内容①～⑤」の内、一番多い行数</t>
  </si>
  <si>
    <t>＃３-①　サービスの期間</t>
  </si>
  <si>
    <t>＃３-①　サービスに対する達成度　（１文字で「1～5」の五段階評価）</t>
  </si>
  <si>
    <t>＃３-②　サービスの期間</t>
  </si>
  <si>
    <t>＃３-②　サービスに対する達成度　（１文字で「1～5」の五段階評価）</t>
  </si>
  <si>
    <t>＃３-③　サービスの期間</t>
  </si>
  <si>
    <t>＃３-③　サービスに対する達成度　（１文字で「1～5」の五段階評価）</t>
  </si>
  <si>
    <t>＃３-④　サービスの期間</t>
  </si>
  <si>
    <t>＃３-④　サービスに対する達成度　（１文字で「1～5」の五段階評価）</t>
  </si>
  <si>
    <t>＃３-①　みっつめのニーズに対するサービス内容　　最大</t>
  </si>
  <si>
    <t>＃３-②　ふたつめのニーズに対するサービス内容　　最大</t>
  </si>
  <si>
    <t>※ 用紙を超える記入はできません。</t>
  </si>
  <si>
    <r>
      <t>＃３　みっつめのニーズに対するサービス内容　</t>
    </r>
    <r>
      <rPr>
        <sz val="14"/>
        <rFont val="ＭＳ ゴシック"/>
        <family val="3"/>
      </rPr>
      <t>③</t>
    </r>
    <r>
      <rPr>
        <sz val="11"/>
        <rFont val="ＭＳ ゴシック"/>
        <family val="3"/>
      </rPr>
      <t>　最大</t>
    </r>
  </si>
  <si>
    <r>
      <t>＃３　みっつめのニーズに対するサービス内容　</t>
    </r>
    <r>
      <rPr>
        <sz val="14"/>
        <rFont val="ＭＳ ゴシック"/>
        <family val="3"/>
      </rPr>
      <t>④</t>
    </r>
    <r>
      <rPr>
        <sz val="11"/>
        <rFont val="ＭＳ ゴシック"/>
        <family val="3"/>
      </rPr>
      <t>　最大</t>
    </r>
  </si>
  <si>
    <t>＃４　よっつめのニーズ　（最大</t>
  </si>
  <si>
    <t>＃４　よっつめのニーズに対する長期目標　（最大</t>
  </si>
  <si>
    <t>＃４　よっつめのニーズに対する短期目標　（最大</t>
  </si>
  <si>
    <t>＃４-①　サービスの期間</t>
  </si>
  <si>
    <t>頁</t>
  </si>
  <si>
    <t>＃１を記入し終わる行数</t>
  </si>
  <si>
    <t>＃１の後に１行空ける必要はあるか？（ある＝１、ない＝０）</t>
  </si>
  <si>
    <t>改頁に必要な空白の行数（改頁しないのであれば０）</t>
  </si>
  <si>
    <t>＃２の書き出しは、記入用紙の何頁目か？</t>
  </si>
  <si>
    <t>＃２の後に１行空ける必要はあるか？（ある＝１、ない＝０）</t>
  </si>
  <si>
    <t>＃２を記入し始める行数</t>
  </si>
  <si>
    <t>仮計算</t>
  </si>
  <si>
    <t>＃２のニーズを記入し終わる行数</t>
  </si>
  <si>
    <t>＃２の長期目標を記入し終わる行数</t>
  </si>
  <si>
    <t>＃２の短期目標を記入し終わる行数</t>
  </si>
  <si>
    <t>上３点の中で一番多い行の書き終わり行は？</t>
  </si>
  <si>
    <t>↑の書き終わりは、記入用紙の何頁目？</t>
  </si>
  <si>
    <t>＃２の書き終わり行</t>
  </si>
  <si>
    <t>それは、＃１の書き終わりと同じ頁か？</t>
  </si>
  <si>
    <t>＃１の後に改頁は必要か？</t>
  </si>
  <si>
    <t>改頁後の＃２の書き終わりは、記入用紙の最終行か？</t>
  </si>
  <si>
    <t>＃１を記入し終わった行は、その頁の最終行か？</t>
  </si>
  <si>
    <t>※最終行が27の整数倍なら１行空けない</t>
  </si>
  <si>
    <t>＃４-①　サービスに対する達成度　（１文字で「1～5」の五段階評価）</t>
  </si>
  <si>
    <t>＃４-②　サービスの期間</t>
  </si>
  <si>
    <t>＃４-②　サービスに対する達成度　（１文字で「1～5」の五段階評価）</t>
  </si>
  <si>
    <t>＃４-③　サービスの期間</t>
  </si>
  <si>
    <t>＃４-③　サービスに対する達成度　（１文字で「1～5」の五段階評価）</t>
  </si>
  <si>
    <t>＃４-④　サービスの期間</t>
  </si>
  <si>
    <t>＃４-④　サービスに対する達成度　（１文字で「1～5」の五段階評価）</t>
  </si>
  <si>
    <t>※ 以上で入力は終わりです。　　ご苦労さまでした。</t>
  </si>
  <si>
    <t>＃１-①　サービスの担当者　（６文字まで）</t>
  </si>
  <si>
    <t>＃１-①　サービスの頻度　（６文字まで）</t>
  </si>
  <si>
    <t>＃１-②　サービスの担当者　（６文字まで）</t>
  </si>
  <si>
    <t>＃１-②　サービスの頻度　（６文字まで）</t>
  </si>
  <si>
    <t>＃１-③　サービスの頻度　（６文字まで）</t>
  </si>
  <si>
    <t>＃１-④　サービスの担当者　（６文字まで）</t>
  </si>
  <si>
    <t>＃１-④　サービスの頻度　（６文字まで）</t>
  </si>
  <si>
    <t>担当者名　（最大10文字まで）</t>
  </si>
  <si>
    <t>家人サイン</t>
  </si>
  <si>
    <t>本人/</t>
  </si>
  <si>
    <t>Ｃ</t>
  </si>
  <si>
    <t>＃２-①　サービスの担当者　（６文字まで）</t>
  </si>
  <si>
    <t>＃２－①　サービスの頻度　（６文字まで）</t>
  </si>
  <si>
    <t>＃２-②　サービスの担当者　（６文字まで）</t>
  </si>
  <si>
    <t>＃２-②　サービスの頻度　（６文字まで）</t>
  </si>
  <si>
    <t>＃２-③　サービスの担当者　（６文字まで）</t>
  </si>
  <si>
    <t>＃２-③　サービスの頻度　（６文字まで）</t>
  </si>
  <si>
    <t>＃２-④　サービスの担当者　（６文字まで）</t>
  </si>
  <si>
    <t>＃２-④　サービスの頻度　（６文字まで）</t>
  </si>
  <si>
    <t>＃３-①　サービスの担当者　（６文字まで）</t>
  </si>
  <si>
    <t>＃３-①　サービスの頻度　（６文字まで）</t>
  </si>
  <si>
    <t>＃３-②　サービスの担当者　（６文字まで）</t>
  </si>
  <si>
    <t>＃３-②　サービスの頻度　（６文字まで）</t>
  </si>
  <si>
    <t>＃３-④　サービスの担当者　（６文字まで）</t>
  </si>
  <si>
    <t>＃３-④　サービスの頻度　（６文字まで）</t>
  </si>
  <si>
    <t>＃４-①　サービスの担当者　（６文字まで）</t>
  </si>
  <si>
    <t>＃４－①　サービスの頻度　（６文字まで）</t>
  </si>
  <si>
    <t>＃４-②　サービスの担当者　（６文字まで）</t>
  </si>
  <si>
    <t>＃４-②　サービスの頻度　（６文字まで）</t>
  </si>
  <si>
    <t>＃４-③　サービスの担当者　（６文字まで）</t>
  </si>
  <si>
    <t>＃４-③　サービスの頻度　（６文字まで）</t>
  </si>
  <si>
    <t>＃４-④　サービスの担当者　（６文字まで）</t>
  </si>
  <si>
    <t>＃４-④　サービスの頻度　（６文字まで）</t>
  </si>
  <si>
    <t>＃３-③　サービスの担当者　（６文字まで）</t>
  </si>
  <si>
    <t>＃３-③　サービスの頻度　（６文字まで）</t>
  </si>
  <si>
    <t>④</t>
  </si>
  <si>
    <t>＃５の文章の中に行数オーバーはあるか？</t>
  </si>
  <si>
    <t>＃1</t>
  </si>
  <si>
    <t>＃1</t>
  </si>
  <si>
    <t>＃1之①</t>
  </si>
  <si>
    <t>＃１之②</t>
  </si>
  <si>
    <t>＃１之③</t>
  </si>
  <si>
    <t>＃１之④</t>
  </si>
  <si>
    <t>＃１</t>
  </si>
  <si>
    <t>＃2</t>
  </si>
  <si>
    <t>＃２之①</t>
  </si>
  <si>
    <t>＃２之②</t>
  </si>
  <si>
    <t>＃２之③</t>
  </si>
  <si>
    <t>＃２之④</t>
  </si>
  <si>
    <t>＃２</t>
  </si>
  <si>
    <t>←０６→</t>
  </si>
  <si>
    <t>←１０→</t>
  </si>
  <si>
    <t>←１２→</t>
  </si>
  <si>
    <t>←１９→</t>
  </si>
  <si>
    <t>＃3</t>
  </si>
  <si>
    <t>＃3之①</t>
  </si>
  <si>
    <t>＃3之③</t>
  </si>
  <si>
    <t>＃3之④</t>
  </si>
  <si>
    <t>記入した文字数に要する行数</t>
  </si>
  <si>
    <t>＃３の文章の中で最小の行数</t>
  </si>
  <si>
    <t>＃２の文章の中で最小の行数</t>
  </si>
  <si>
    <t>担当者の記入に因って行数がオーバーするか？</t>
  </si>
  <si>
    <t>頻度の記入に因って行数がオーバーするか？</t>
  </si>
  <si>
    <t>＃１-③　サービスの担当者　（６文字まで）</t>
  </si>
  <si>
    <t>＃４</t>
  </si>
  <si>
    <t>＃４</t>
  </si>
  <si>
    <t>＃４之①</t>
  </si>
  <si>
    <t>＃４之②</t>
  </si>
  <si>
    <t>＃４之③</t>
  </si>
  <si>
    <t>＃４之④</t>
  </si>
  <si>
    <t>＃４</t>
  </si>
  <si>
    <t>＃４の文章の中で最小の行数</t>
  </si>
  <si>
    <t>記入可能な文字数（「②　」を含まない）</t>
  </si>
  <si>
    <t>記入可能な文字数（「③　」を含まない）</t>
  </si>
  <si>
    <t>記入可能な文字数（「④　」を含まない）</t>
  </si>
  <si>
    <t>記入可能な文字数（「①　」を含まない）</t>
  </si>
  <si>
    <t>記入可能な文字数（「＃１　」を含まない）</t>
  </si>
  <si>
    <t>記入可能な文字数（「＃３　」を含まない）</t>
  </si>
  <si>
    <t>記入可能な文字数「＃４　」を含まない）</t>
  </si>
  <si>
    <t>可能</t>
  </si>
  <si>
    <t>行数</t>
  </si>
  <si>
    <t>サービス内容の文章へ足す行数</t>
  </si>
  <si>
    <t>頻度へ足す行数</t>
  </si>
  <si>
    <t>上の文字列を表示するために必要な行数</t>
  </si>
  <si>
    <t>開始月日へ足す行数</t>
  </si>
  <si>
    <t>達成度へ足す行数</t>
  </si>
  <si>
    <t>記入した文字数（「①　」を含まない）</t>
  </si>
  <si>
    <t>記入した文字数（「②　」を含まない）</t>
  </si>
  <si>
    <t>記入した文字数（「③　」を含まない）</t>
  </si>
  <si>
    <t>記入した文字数（「④　」を含まない）</t>
  </si>
  <si>
    <t>↑+２　（「①　」を含む字数）</t>
  </si>
  <si>
    <t>↑+２　（「②　」を含む字数）</t>
  </si>
  <si>
    <t>↑+２　（「③　」を含む字数）</t>
  </si>
  <si>
    <t>↑+２　（「④　」を含む字数）</t>
  </si>
  <si>
    <t>※ 記入した文章は、「サービスの期間」の月日を除き、全て全角文字として扱われます。</t>
  </si>
  <si>
    <t>全角化</t>
  </si>
  <si>
    <t>「</t>
  </si>
  <si>
    <t>」</t>
  </si>
  <si>
    <t>「</t>
  </si>
  <si>
    <t>」</t>
  </si>
  <si>
    <t>＃３へ記入可能な行数</t>
  </si>
  <si>
    <t>＃４へ記入可能な行数</t>
  </si>
  <si>
    <t>＃２へ記入可能な行数</t>
  </si>
  <si>
    <t>＃５へ記入可能な行数</t>
  </si>
  <si>
    <t>字数オーバーか？</t>
  </si>
  <si>
    <t>記入した文字数（「＃１　」を含まない）</t>
  </si>
  <si>
    <t>↑+3（「＃１　」を含む文字数）</t>
  </si>
  <si>
    <t>未記入と字数オーバーはゼロ</t>
  </si>
  <si>
    <t>記入用紙枚数</t>
  </si>
  <si>
    <t>枚</t>
  </si>
  <si>
    <t>↑+3（「＃２　」を含む文字数）</t>
  </si>
  <si>
    <t>＃1の文章の中に字数オーバーはあるか？</t>
  </si>
  <si>
    <t>記入した文字数（「＃３　」を含まない）</t>
  </si>
  <si>
    <t>＃３の文章の中に字数オーバーはあるか？</t>
  </si>
  <si>
    <t>記入した文字数（「＃４　」を含まない）</t>
  </si>
  <si>
    <t>終了月日を表示するために必要な行数</t>
  </si>
  <si>
    <t>終了月日に足す行数</t>
  </si>
  <si>
    <t>終了月日へ足す行数</t>
  </si>
  <si>
    <t>↑+3（「＃３　」を含む文字数）</t>
  </si>
  <si>
    <t>↑+3「＃４　」を含む文字数）</t>
  </si>
  <si>
    <r>
      <t>＃１　ひとつめのニーズに対するサービス内容　⑤</t>
    </r>
    <r>
      <rPr>
        <sz val="11"/>
        <rFont val="ＭＳ ゴシック"/>
        <family val="3"/>
      </rPr>
      <t>　最大</t>
    </r>
  </si>
  <si>
    <t>＃１-⑤　サービスの担当者　（６文字まで）</t>
  </si>
  <si>
    <t>＃１-⑤　サービスの頻度　（６文字まで）</t>
  </si>
  <si>
    <t>＃１-⑤　サービスの期間</t>
  </si>
  <si>
    <t>＃１-⑤　サービスに対する達成度　（１文字で「1～5」の五段階評価）</t>
  </si>
  <si>
    <r>
      <t>＃２　ふたつめのニーズに対するサービス内容　</t>
    </r>
    <r>
      <rPr>
        <sz val="14"/>
        <rFont val="ＭＳ ゴシック"/>
        <family val="3"/>
      </rPr>
      <t>⑤</t>
    </r>
    <r>
      <rPr>
        <sz val="11"/>
        <rFont val="ＭＳ ゴシック"/>
        <family val="3"/>
      </rPr>
      <t>　最大</t>
    </r>
  </si>
  <si>
    <t>＃２-⑤　サービスの担当者　（６文字まで）</t>
  </si>
  <si>
    <t>＃２-⑤　サービスの頻度　（６文字まで）</t>
  </si>
  <si>
    <t>＃２-⑤　サービスの期間</t>
  </si>
  <si>
    <t>＃２-⑤　サービスに対する達成度　（１文字で「1～5」の五段階評価）</t>
  </si>
  <si>
    <t>※ 文章の頭に着く＃１や①などは自動的に書き込まれます。</t>
  </si>
  <si>
    <t>＃３之②</t>
  </si>
  <si>
    <t>＃３之③</t>
  </si>
  <si>
    <t>④</t>
  </si>
  <si>
    <t>＃３之④</t>
  </si>
  <si>
    <t>＃３之⑤</t>
  </si>
  <si>
    <t>１行空け、自動改頁するver</t>
  </si>
  <si>
    <r>
      <t>＃３　みっつめのニーズに対するサービス内容　</t>
    </r>
    <r>
      <rPr>
        <sz val="14"/>
        <rFont val="ＭＳ ゴシック"/>
        <family val="3"/>
      </rPr>
      <t>⑤</t>
    </r>
    <r>
      <rPr>
        <sz val="11"/>
        <rFont val="ＭＳ ゴシック"/>
        <family val="3"/>
      </rPr>
      <t>　最大</t>
    </r>
  </si>
  <si>
    <t>＃３-⑤　サービスの担当者　（６文字まで）</t>
  </si>
  <si>
    <t>＃３-⑤　サービスの頻度　（６文字まで）</t>
  </si>
  <si>
    <t>＃３-⑤　サービスの期間</t>
  </si>
  <si>
    <t>＃３-⑤　サービスに対する達成度　（１文字で「1～5」の五段階評価）</t>
  </si>
  <si>
    <r>
      <t>＃４　よっつめのニーズに対するサービス内容　</t>
    </r>
    <r>
      <rPr>
        <sz val="14"/>
        <rFont val="ＭＳ ゴシック"/>
        <family val="3"/>
      </rPr>
      <t>⑤</t>
    </r>
    <r>
      <rPr>
        <sz val="11"/>
        <rFont val="ＭＳ ゴシック"/>
        <family val="3"/>
      </rPr>
      <t>　　最大</t>
    </r>
  </si>
  <si>
    <t>＃４-⑤　サービスの担当者　（６文字まで）</t>
  </si>
  <si>
    <t>＃４-⑤　サービスの頻度　（６文字まで）</t>
  </si>
  <si>
    <t>＃４-⑤　サービスの期間</t>
  </si>
  <si>
    <t>＃４-⑤　サービスに対する達成度　（１文字で「1～5」の五段階評価）</t>
  </si>
  <si>
    <t>＃１－①</t>
  </si>
  <si>
    <t>＃１－③の「サービス内容」「担当者」「頻度」の内、一番多い行数</t>
  </si>
  <si>
    <t>①</t>
  </si>
  <si>
    <t>＃５　いつつめのニーズ　（最大</t>
  </si>
  <si>
    <t>＃５　いつつめのニーズに対する長期目標　（最大</t>
  </si>
  <si>
    <t>＃５　いつつめのニーズに対する短期目標　（最大</t>
  </si>
  <si>
    <t>＃５-①　いつつめのニーズに対するサービス内容　　最大</t>
  </si>
  <si>
    <t>＃５-①　サービスの担当者　（６文字まで）</t>
  </si>
  <si>
    <t>＃５-①　サービスの頻度　（６文字まで）</t>
  </si>
  <si>
    <t>＃５-①　サービスの期間</t>
  </si>
  <si>
    <t>＃５-①　サービスに対する達成度　（１文字で「1～5」の五段階評価）</t>
  </si>
  <si>
    <r>
      <t>＃５　ふたつめのニーズに対するサービス内容　</t>
    </r>
    <r>
      <rPr>
        <sz val="14"/>
        <rFont val="ＭＳ ゴシック"/>
        <family val="3"/>
      </rPr>
      <t>②</t>
    </r>
    <r>
      <rPr>
        <sz val="11"/>
        <rFont val="ＭＳ ゴシック"/>
        <family val="3"/>
      </rPr>
      <t>　最大</t>
    </r>
  </si>
  <si>
    <t>＃５-②　サービスの担当者　（６文字まで）</t>
  </si>
  <si>
    <t>＃５-②　サービスの頻度　（６文字まで）</t>
  </si>
  <si>
    <t>＃５-②　サービスの期間</t>
  </si>
  <si>
    <t>＃５-②　サービスに対する達成度　（１文字で「1～5」の五段階評価）</t>
  </si>
  <si>
    <r>
      <t>＃５　いつつめのニーズに対するサービス内容　</t>
    </r>
    <r>
      <rPr>
        <sz val="14"/>
        <rFont val="ＭＳ ゴシック"/>
        <family val="3"/>
      </rPr>
      <t>③</t>
    </r>
    <r>
      <rPr>
        <sz val="11"/>
        <rFont val="ＭＳ ゴシック"/>
        <family val="3"/>
      </rPr>
      <t>　最大</t>
    </r>
  </si>
  <si>
    <t>＃５-③　サービスの担当者　（６文字まで）</t>
  </si>
  <si>
    <t>＃５-③　サービスの頻度　（６文字まで）</t>
  </si>
  <si>
    <t>＃５-③　サービスの期間</t>
  </si>
  <si>
    <t>＃５-③　サービスに対する達成度　（１文字で「1～5」の五段階評価）</t>
  </si>
  <si>
    <r>
      <t>＃５　いつつめのニーズに対するサービス内容　</t>
    </r>
    <r>
      <rPr>
        <sz val="14"/>
        <rFont val="ＭＳ ゴシック"/>
        <family val="3"/>
      </rPr>
      <t>④</t>
    </r>
    <r>
      <rPr>
        <sz val="11"/>
        <rFont val="ＭＳ ゴシック"/>
        <family val="3"/>
      </rPr>
      <t>　最大</t>
    </r>
  </si>
  <si>
    <t>＃５-④　サービスの担当者　（６文字まで）</t>
  </si>
  <si>
    <t>＃５-④　サービスの頻度　（６文字まで）</t>
  </si>
  <si>
    <t>＃５-④　サービスの期間</t>
  </si>
  <si>
    <t>＃５-④　サービスに対する達成度　（１文字で「1～5」の五段階評価）</t>
  </si>
  <si>
    <r>
      <t>＃５　いつつめのニーズに対するサービス内容　</t>
    </r>
    <r>
      <rPr>
        <sz val="14"/>
        <rFont val="ＭＳ ゴシック"/>
        <family val="3"/>
      </rPr>
      <t>⑤</t>
    </r>
    <r>
      <rPr>
        <sz val="11"/>
        <rFont val="ＭＳ ゴシック"/>
        <family val="3"/>
      </rPr>
      <t>　最大</t>
    </r>
  </si>
  <si>
    <t>＃５-⑤　サービスの担当者　（６文字まで）</t>
  </si>
  <si>
    <t>＃５-⑤　サービスの頻度　（６文字まで）</t>
  </si>
  <si>
    <t>＃５-⑤　サービスの期間</t>
  </si>
  <si>
    <t>開始月日へに足す行数</t>
  </si>
  <si>
    <t>＃５-⑤　サービスに対する達成度　（１文字で「1～5」の五段階評価）</t>
  </si>
  <si>
    <r>
      <t>＃２　ふたつめのニーズに対するサービス内容　</t>
    </r>
    <r>
      <rPr>
        <sz val="14"/>
        <rFont val="ＭＳ ゴシック"/>
        <family val="3"/>
      </rPr>
      <t>②</t>
    </r>
    <r>
      <rPr>
        <sz val="11"/>
        <rFont val="ＭＳ ゴシック"/>
        <family val="3"/>
      </rPr>
      <t>　最大</t>
    </r>
  </si>
  <si>
    <r>
      <t>＃２　ふたつめのニーズに対するサービス内容　</t>
    </r>
    <r>
      <rPr>
        <sz val="14"/>
        <rFont val="ＭＳ ゴシック"/>
        <family val="3"/>
      </rPr>
      <t>①</t>
    </r>
    <r>
      <rPr>
        <sz val="11"/>
        <rFont val="ＭＳ ゴシック"/>
        <family val="3"/>
      </rPr>
      <t>　最大</t>
    </r>
  </si>
  <si>
    <r>
      <t>＃２　ふたつめのニーズに対するサービス内容　</t>
    </r>
    <r>
      <rPr>
        <sz val="14"/>
        <rFont val="ＭＳ ゴシック"/>
        <family val="3"/>
      </rPr>
      <t>③</t>
    </r>
    <r>
      <rPr>
        <sz val="11"/>
        <rFont val="ＭＳ ゴシック"/>
        <family val="3"/>
      </rPr>
      <t>　最大</t>
    </r>
  </si>
  <si>
    <r>
      <t>＃２　ふたつめのニーズに対するサービス内容　</t>
    </r>
    <r>
      <rPr>
        <sz val="14"/>
        <rFont val="ＭＳ ゴシック"/>
        <family val="3"/>
      </rPr>
      <t>④</t>
    </r>
    <r>
      <rPr>
        <sz val="11"/>
        <rFont val="ＭＳ ゴシック"/>
        <family val="3"/>
      </rPr>
      <t>　最大</t>
    </r>
  </si>
  <si>
    <r>
      <t>＃４　よっつめのニーズに対するサービス内容　</t>
    </r>
    <r>
      <rPr>
        <sz val="14"/>
        <rFont val="ＭＳ ゴシック"/>
        <family val="3"/>
      </rPr>
      <t>①</t>
    </r>
    <r>
      <rPr>
        <sz val="11"/>
        <rFont val="ＭＳ ゴシック"/>
        <family val="3"/>
      </rPr>
      <t>　最大</t>
    </r>
  </si>
  <si>
    <r>
      <t>＃４　よっつめのニーズに対するサービス内容　</t>
    </r>
    <r>
      <rPr>
        <sz val="14"/>
        <rFont val="ＭＳ ゴシック"/>
        <family val="3"/>
      </rPr>
      <t>③</t>
    </r>
    <r>
      <rPr>
        <sz val="11"/>
        <rFont val="ＭＳ ゴシック"/>
        <family val="3"/>
      </rPr>
      <t>　最大</t>
    </r>
  </si>
  <si>
    <r>
      <t>＃４　よっつめのニーズに対するサービス内容　</t>
    </r>
    <r>
      <rPr>
        <sz val="14"/>
        <rFont val="ＭＳ ゴシック"/>
        <family val="3"/>
      </rPr>
      <t>④</t>
    </r>
    <r>
      <rPr>
        <sz val="11"/>
        <rFont val="ＭＳ ゴシック"/>
        <family val="3"/>
      </rPr>
      <t>　最大</t>
    </r>
  </si>
  <si>
    <t>＃１－①</t>
  </si>
  <si>
    <t>＃１－①</t>
  </si>
  <si>
    <t>＃１－②</t>
  </si>
  <si>
    <t>担当者へ足す行数</t>
  </si>
  <si>
    <t>達成度</t>
  </si>
  <si>
    <t>＃２－⑤</t>
  </si>
  <si>
    <t>＃１－③</t>
  </si>
  <si>
    <t>＃１－④</t>
  </si>
  <si>
    <t>＃１之⑤</t>
  </si>
  <si>
    <t>⑤</t>
  </si>
  <si>
    <t>＃１－⑤</t>
  </si>
  <si>
    <t>＃１－⑤</t>
  </si>
  <si>
    <t>＃１－⑤</t>
  </si>
  <si>
    <t>＃１の後の改頁に必要な空白の行数（改頁しない＝０）</t>
  </si>
  <si>
    <t>＃１の後に改頁した＃２の書き終わり行は？</t>
  </si>
  <si>
    <t>＃３之①</t>
  </si>
  <si>
    <r>
      <t>＃４　よっつめのニーズに対するサービス内容　</t>
    </r>
    <r>
      <rPr>
        <sz val="14"/>
        <rFont val="ＭＳ ゴシック"/>
        <family val="3"/>
      </rPr>
      <t>②</t>
    </r>
    <r>
      <rPr>
        <sz val="11"/>
        <rFont val="ＭＳ ゴシック"/>
        <family val="3"/>
      </rPr>
      <t>　最大</t>
    </r>
  </si>
  <si>
    <t>③</t>
  </si>
  <si>
    <t>④</t>
  </si>
  <si>
    <t>＃２之⑤</t>
  </si>
  <si>
    <t>①～⑥</t>
  </si>
  <si>
    <t>「ニーズ」「長期目標」「短期目標」「サービス内容①～⑥」の内、一番多い行数は？</t>
  </si>
  <si>
    <t>①～⑥に要した行数</t>
  </si>
  <si>
    <t>①～⑥に要した行数は記入可能行数を超えているか？</t>
  </si>
  <si>
    <t>記入可能な文字数（「⑤　」を含まない）</t>
  </si>
  <si>
    <t>記入した文字数（「⑤　」を含まない）</t>
  </si>
  <si>
    <t>↑+２　（「⑤　」を含む字数）</t>
  </si>
  <si>
    <t>⑤</t>
  </si>
  <si>
    <t>＃２－④</t>
  </si>
  <si>
    <t>＃２－①</t>
  </si>
  <si>
    <t>＃２－②</t>
  </si>
  <si>
    <t>＃２－③</t>
  </si>
  <si>
    <t>＃２－④</t>
  </si>
  <si>
    <t>＃２－⑤</t>
  </si>
  <si>
    <t>＃３－①</t>
  </si>
  <si>
    <t>＃３－②</t>
  </si>
  <si>
    <t>＃３－③</t>
  </si>
  <si>
    <t>＃３－④</t>
  </si>
  <si>
    <t>＃3之⑤</t>
  </si>
  <si>
    <t>＃３－⑤</t>
  </si>
  <si>
    <t>＃４-①</t>
  </si>
  <si>
    <t>＃４-②</t>
  </si>
  <si>
    <t>＃４－②</t>
  </si>
  <si>
    <t>＃４－③</t>
  </si>
  <si>
    <t>＃４－④</t>
  </si>
  <si>
    <t>＃４之⑤</t>
  </si>
  <si>
    <t>＃４－⑤</t>
  </si>
  <si>
    <t>＃５</t>
  </si>
  <si>
    <t>＃５之①</t>
  </si>
  <si>
    <t>＃５之②</t>
  </si>
  <si>
    <t>＃５之③</t>
  </si>
  <si>
    <t>＃５之④</t>
  </si>
  <si>
    <t>＃５之⑤</t>
  </si>
  <si>
    <t>記入可能な文字数（「＃５　」を含まない）</t>
  </si>
  <si>
    <t>記入した文字数（「＃５　」を含まない）</t>
  </si>
  <si>
    <t>↑+3（「＃５　」を含む文字数）</t>
  </si>
  <si>
    <t>＃５－①</t>
  </si>
  <si>
    <t>＃５－②</t>
  </si>
  <si>
    <t>＃５－③</t>
  </si>
  <si>
    <t>＃５－④</t>
  </si>
  <si>
    <t>＃５－⑤</t>
  </si>
  <si>
    <t>＃４を記入した際に改ページが行われた場合、＃４へ記入可能な行数は、</t>
  </si>
  <si>
    <t>＃５を記入した際に改ページが行われた場合、＃５へ記入可能な行数は、</t>
  </si>
  <si>
    <t>↑「＃３　」を含まない</t>
  </si>
  <si>
    <t>↑記入した文字数（「＃３　」を含まない）</t>
  </si>
  <si>
    <t>↑「＃４　」を含まない</t>
  </si>
  <si>
    <t>↑記入した文字数（「＃４　」を含まない）</t>
  </si>
  <si>
    <t>↑「＃５　」を含まない</t>
  </si>
  <si>
    <t>↑記入した文字数（「＃５　」を含まない）</t>
  </si>
  <si>
    <t>交付日</t>
  </si>
  <si>
    <t>交付日：</t>
  </si>
  <si>
    <t>＃５の文章の中で最小の行数</t>
  </si>
  <si>
    <t>＃４の文章の中に字数オーバーはあるか？</t>
  </si>
  <si>
    <t>＃２の文章の中に字数オーバーはあるか？</t>
  </si>
  <si>
    <t>＃２へ記入可能な行数（必要なら１行空ける）</t>
  </si>
  <si>
    <t>＃２を記入した際に改ページが行われた場合、＃２へ記入可能な行数は、</t>
  </si>
  <si>
    <t>行となる</t>
  </si>
  <si>
    <t>＃３を記入した際に改ページが行われた場合、＃３へ記入可能な行数は、</t>
  </si>
  <si>
    <t>↑記入可能な文字数（「＃２　」を含まない）</t>
  </si>
  <si>
    <t>↑記入した文字数（「＃２　」を含まない）</t>
  </si>
  <si>
    <t>改ページ後に記入可能となる文字数</t>
  </si>
  <si>
    <t>↑「＃２　」を含まない</t>
  </si>
  <si>
    <t>↑記入した文字数（「＃２　」を含まない）</t>
  </si>
  <si>
    <t>改頁後</t>
  </si>
  <si>
    <t>①</t>
  </si>
  <si>
    <t>①</t>
  </si>
  <si>
    <t>＃２の①</t>
  </si>
  <si>
    <t>＃２の①</t>
  </si>
  <si>
    <t>②</t>
  </si>
  <si>
    <t>③</t>
  </si>
  <si>
    <t>＃３を記入し始める行数</t>
  </si>
  <si>
    <t>＃３の書き出しは、記入用紙の何頁目か？</t>
  </si>
  <si>
    <t>＃３の書き終わり行</t>
  </si>
  <si>
    <t>＃３のニーズを記入し終わる行数</t>
  </si>
  <si>
    <t>＃３の長期目標を記入し終わる行数</t>
  </si>
  <si>
    <t>＃３の短期目標を記入し終わる行数</t>
  </si>
  <si>
    <t>Ｄ</t>
  </si>
  <si>
    <t>Ｇ</t>
  </si>
  <si>
    <t>Ｎ</t>
  </si>
  <si>
    <t>Ｑ</t>
  </si>
  <si>
    <t>Ｃ</t>
  </si>
  <si>
    <t>Ｃ</t>
  </si>
  <si>
    <t>C</t>
  </si>
  <si>
    <t>C</t>
  </si>
  <si>
    <t>D</t>
  </si>
  <si>
    <t>G</t>
  </si>
  <si>
    <t>N</t>
  </si>
  <si>
    <t>Q</t>
  </si>
  <si>
    <t>改頁後に用紙の枚数を超えるか？</t>
  </si>
  <si>
    <t>＃５の書き出し</t>
  </si>
  <si>
    <t>＃４の書き出し</t>
  </si>
  <si>
    <t>＃３の書き出し</t>
  </si>
  <si>
    <t>＃２の書き出し</t>
  </si>
  <si>
    <t>→</t>
  </si>
  <si>
    <t>な残</t>
  </si>
  <si>
    <t>改頁した後の＃３の書き終わり行は？</t>
  </si>
  <si>
    <t>改頁後の＃３の書き終わりは、記入用紙の最終行か？</t>
  </si>
  <si>
    <t>＃３の後に１行空ける必要はあるか？（ある＝１、ない＝０）</t>
  </si>
  <si>
    <t>↑それは何頁目か？</t>
  </si>
  <si>
    <t>＃２の書き終わりと↑の書き終わりは同じ頁か？</t>
  </si>
  <si>
    <t>↑の後に改頁は必要か？</t>
  </si>
  <si>
    <t>＃４を記入し始める行数</t>
  </si>
  <si>
    <t>＃４の書き出しは、記入用紙の何頁目か？</t>
  </si>
  <si>
    <t>＃４の書き終わり行</t>
  </si>
  <si>
    <t>＃４のニーズを記入し終わる行数</t>
  </si>
  <si>
    <t>＃４の長期目標を記入し終わる行数</t>
  </si>
  <si>
    <t>＃４の短期目標を記入し終わる行数</t>
  </si>
  <si>
    <t>＃３の書き終わりと↑の書き終わりは同じ頁か？</t>
  </si>
  <si>
    <t>改頁した後の＃４の書き終わり行は？</t>
  </si>
  <si>
    <t>改頁後の＃４の書き終わりは、記入用紙の最終行か？</t>
  </si>
  <si>
    <t>＃４の後に１行空ける必要はあるか？（ある＝１、ない＝０）</t>
  </si>
  <si>
    <t>＃５を記入し始める行数</t>
  </si>
  <si>
    <t>＃５の書き出しは、記入用紙の何頁目か？</t>
  </si>
  <si>
    <t>＃５の書き終わり行</t>
  </si>
  <si>
    <t>＃５のニーズを記入し終わる行数</t>
  </si>
  <si>
    <t>＃５の長期目標を記入し終わる行数</t>
  </si>
  <si>
    <t>＃５の短期目標を記入し終わる行数</t>
  </si>
  <si>
    <t>改頁した後の＃５の書き終わり行は？</t>
  </si>
  <si>
    <t>＃４の書き終わりと↑の書き終わりは同じ頁か？</t>
  </si>
  <si>
    <t>改頁後の＃５の書き終わりは、記入用紙の最終行か？</t>
  </si>
  <si>
    <t>＃５の後に１行空ける必要はあるか？（ある＝１、ない＝０）</t>
  </si>
  <si>
    <t>第２表</t>
  </si>
  <si>
    <t>施設サービス計画書　（２）</t>
  </si>
  <si>
    <t>利用者</t>
  </si>
  <si>
    <t>殿</t>
  </si>
  <si>
    <t>生活全体の解決す</t>
  </si>
  <si>
    <t>援　助　目　標</t>
  </si>
  <si>
    <t>援　　助　　内　　容</t>
  </si>
  <si>
    <t>べき課題（ニーズ）</t>
  </si>
  <si>
    <t>長期目標　（期間）</t>
  </si>
  <si>
    <t>短期目標　（期間）</t>
  </si>
  <si>
    <t>サービス内容</t>
  </si>
  <si>
    <t>担当者</t>
  </si>
  <si>
    <t>頻度</t>
  </si>
  <si>
    <t>期間</t>
  </si>
  <si>
    <t>達成度</t>
  </si>
  <si>
    <t>年</t>
  </si>
  <si>
    <t>月</t>
  </si>
  <si>
    <t>説明日</t>
  </si>
  <si>
    <t>↑「Ｈ○○」と記入してください</t>
  </si>
  <si>
    <t>日</t>
  </si>
  <si>
    <t>説明者</t>
  </si>
  <si>
    <t>↑現在文字数</t>
  </si>
  <si>
    <t>文字</t>
  </si>
  <si>
    <t>文字まで）</t>
  </si>
  <si>
    <t>文字まで）</t>
  </si>
  <si>
    <t>開始</t>
  </si>
  <si>
    <t>終了</t>
  </si>
  <si>
    <t>長期目標</t>
  </si>
  <si>
    <t>短期目標</t>
  </si>
  <si>
    <t>最終行末尾迄の文字不足数</t>
  </si>
  <si>
    <t>文字数</t>
  </si>
  <si>
    <t>座標</t>
  </si>
  <si>
    <t>セル</t>
  </si>
  <si>
    <t>最終行の末尾まで埋める全文字数</t>
  </si>
  <si>
    <t>↑現在文字数</t>
  </si>
  <si>
    <t>↑現在文字数</t>
  </si>
  <si>
    <t>＃１　ひとつめのニーズ　（最大</t>
  </si>
  <si>
    <t>＃１　ひとつめのニーズに対する長期目標　（最大</t>
  </si>
  <si>
    <t>＃１　ひとつめのニーズに対する短期目標　（最大</t>
  </si>
  <si>
    <t>＃２　ふたつめのニーズ　（最大</t>
  </si>
  <si>
    <t>＃２　ふたつめのニーズに対する長期目標　（最大</t>
  </si>
  <si>
    <t>＃２　ふたつめのニーズに対する短期目標　（最大</t>
  </si>
  <si>
    <t>＃３　みっつめのニーズ　（最大</t>
  </si>
  <si>
    <t>＃３　みっつめのニーズに対する長期目標　（最大</t>
  </si>
  <si>
    <t>＃３　みっつめのニーズに対する短期目標　（最大</t>
  </si>
  <si>
    <t>利用者名　（最大１0文字まで）</t>
  </si>
  <si>
    <t>説明者　（１0文字まで）</t>
  </si>
  <si>
    <t>記入可能な文字数</t>
  </si>
  <si>
    <t>記入した文字数</t>
  </si>
  <si>
    <t>最終行に於ける末尾迄の文字不足数</t>
  </si>
  <si>
    <t>最終行の末尾までを完全に埋める全文字数</t>
  </si>
  <si>
    <r>
      <t>＃１　ひとつめのニーズに対するサービス内容　</t>
    </r>
    <r>
      <rPr>
        <sz val="14"/>
        <rFont val="ＭＳ ゴシック"/>
        <family val="3"/>
      </rPr>
      <t>③</t>
    </r>
    <r>
      <rPr>
        <sz val="11"/>
        <rFont val="ＭＳ ゴシック"/>
        <family val="3"/>
      </rPr>
      <t>　最大</t>
    </r>
  </si>
  <si>
    <r>
      <t>＃１　ひとつめのニーズに対するサービス内容　</t>
    </r>
    <r>
      <rPr>
        <sz val="14"/>
        <rFont val="ＭＳ ゴシック"/>
        <family val="3"/>
      </rPr>
      <t>④</t>
    </r>
    <r>
      <rPr>
        <sz val="11"/>
        <rFont val="ＭＳ ゴシック"/>
        <family val="3"/>
      </rPr>
      <t>　最大</t>
    </r>
  </si>
  <si>
    <t>ニーズ</t>
  </si>
  <si>
    <t>埋める行数</t>
  </si>
  <si>
    <t>埋める文字数</t>
  </si>
  <si>
    <t>記入</t>
  </si>
  <si>
    <t>シート</t>
  </si>
  <si>
    <t>一行</t>
  </si>
  <si>
    <t>の</t>
  </si>
  <si>
    <t>演算結果文字列</t>
  </si>
  <si>
    <t>記入に要する行数</t>
  </si>
  <si>
    <t>字</t>
  </si>
  <si>
    <t>行</t>
  </si>
  <si>
    <t>＃１-①　ひとつめのニーズに対するサービス内容　　最大</t>
  </si>
  <si>
    <t>１行目の文字数</t>
  </si>
  <si>
    <t>２行目の文字数</t>
  </si>
  <si>
    <r>
      <t>＃１-②　ひとつめのニーズに対するサービス内容　</t>
    </r>
    <r>
      <rPr>
        <sz val="11"/>
        <rFont val="ＭＳ ゴシック"/>
        <family val="3"/>
      </rPr>
      <t>　最大</t>
    </r>
  </si>
  <si>
    <t>１行目の不足字数</t>
  </si>
  <si>
    <t>２行目の不足字数</t>
  </si>
  <si>
    <t>不足字数</t>
  </si>
  <si>
    <t>開始日の不足字数</t>
  </si>
  <si>
    <t>終了日の文字数</t>
  </si>
  <si>
    <t>終了日の不足字数</t>
  </si>
  <si>
    <t>＃１-①　サービスの期間</t>
  </si>
  <si>
    <t>＃１-①　サービスに対する達成度　（１文字で「1～5」の五段階評価）</t>
  </si>
  <si>
    <t>＃１-②　サービスの期間</t>
  </si>
  <si>
    <t>＃１-②　サービスに対する達成度　（１文字で「1～5」の五段階評価）</t>
  </si>
  <si>
    <t>＃１-③　サービスの期間</t>
  </si>
  <si>
    <t>＃１-③　サービスに対する達成度　（１文字で「1～5」の五段階評価）</t>
  </si>
  <si>
    <t>＃１-④　サービスの期間</t>
  </si>
  <si>
    <t>＃１-④　サービスに対する達成度　（１文字で「1～5」の五段階評価）</t>
  </si>
  <si>
    <t>①</t>
  </si>
  <si>
    <t>③</t>
  </si>
  <si>
    <t>１行目の担当者文字列＋不足字数＋２行目の担当者文字列＋不足字数＋３行目の担当者文字列＋不足字数＋４行目の担当者文字列＋不足字数</t>
  </si>
  <si>
    <t>３行目の文字数</t>
  </si>
  <si>
    <t>３行目の不足字数</t>
  </si>
  <si>
    <t>４行目の文字数</t>
  </si>
  <si>
    <t>４行目の不足字数</t>
  </si>
  <si>
    <t>上の文字列を表示するために必要な行数</t>
  </si>
  <si>
    <t>上の文字列を表示するために必要な行数</t>
  </si>
  <si>
    <t>サービス内容の文章に足す行数</t>
  </si>
  <si>
    <t>担当者に足す行数</t>
  </si>
  <si>
    <t>「サービス内容」「担当者」「頻度」の内、一番多い行数</t>
  </si>
  <si>
    <t>１行目の頻度文字列＋不足字数+２行目の頻度文字列＋不足字数</t>
  </si>
  <si>
    <t>頻度に足す行数</t>
  </si>
  <si>
    <t>達成度に足す行数</t>
  </si>
  <si>
    <t>②</t>
  </si>
  <si>
    <t>＃２-①　サービスの期間</t>
  </si>
  <si>
    <t>＃２-①　サービスに対する達成度　（１文字で「1～5」の五段階評価）</t>
  </si>
  <si>
    <t>＃２-②　サービスの期間</t>
  </si>
  <si>
    <t>＃１の文章の中で最小の行数</t>
  </si>
  <si>
    <t>＃２-②　サービスに対する達成度　（１文字で「1～5」の五段階評価）</t>
  </si>
  <si>
    <t>＃２-③　サービスの期間</t>
  </si>
  <si>
    <t>＃２-③　サービスに対する達成度　（１文字で「1～5」の五段階評価）</t>
  </si>
  <si>
    <t>＃２-④　サービスの期間</t>
  </si>
  <si>
    <t>＃２-④　サービスに対する達成度　（１文字で「1～5」の五段階評価）</t>
  </si>
  <si>
    <t>～</t>
  </si>
  <si>
    <t>施設サービス計画書　（２）</t>
  </si>
  <si>
    <t>作成日</t>
  </si>
  <si>
    <t>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</si>
</sst>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mm&quot;月&quot;d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5"/>
      </patternFill>
    </fill>
    <fill>
      <patternFill patternType="gray0625">
        <bgColor indexed="42"/>
      </patternFill>
    </fill>
    <fill>
      <patternFill patternType="gray0625">
        <bgColor indexed="47"/>
      </patternFill>
    </fill>
    <fill>
      <patternFill patternType="gray0625">
        <bgColor indexed="31"/>
      </patternFill>
    </fill>
    <fill>
      <patternFill patternType="gray06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vertical="top" wrapText="1"/>
      <protection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 applyProtection="1">
      <alignment vertical="top" wrapText="1"/>
      <protection/>
    </xf>
    <xf numFmtId="0" fontId="3" fillId="7" borderId="0" xfId="0" applyFont="1" applyFill="1" applyBorder="1" applyAlignment="1" applyProtection="1">
      <alignment vertical="center"/>
      <protection/>
    </xf>
    <xf numFmtId="0" fontId="3" fillId="7" borderId="0" xfId="0" applyFont="1" applyFill="1" applyBorder="1" applyAlignment="1" applyProtection="1">
      <alignment vertical="top"/>
      <protection/>
    </xf>
    <xf numFmtId="0" fontId="3" fillId="7" borderId="0" xfId="0" applyFont="1" applyFill="1" applyBorder="1" applyAlignment="1" applyProtection="1">
      <alignment horizontal="left" vertical="top"/>
      <protection/>
    </xf>
    <xf numFmtId="0" fontId="3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top"/>
      <protection/>
    </xf>
    <xf numFmtId="0" fontId="3" fillId="4" borderId="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49" fontId="3" fillId="10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left" vertical="top"/>
      <protection/>
    </xf>
    <xf numFmtId="0" fontId="6" fillId="4" borderId="0" xfId="0" applyFont="1" applyFill="1" applyBorder="1" applyAlignment="1" applyProtection="1">
      <alignment horizontal="left" vertical="top"/>
      <protection/>
    </xf>
    <xf numFmtId="49" fontId="3" fillId="5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11" borderId="0" xfId="0" applyFont="1" applyFill="1" applyBorder="1" applyAlignment="1">
      <alignment horizontal="right" vertical="center"/>
    </xf>
    <xf numFmtId="0" fontId="3" fillId="12" borderId="0" xfId="0" applyFont="1" applyFill="1" applyBorder="1" applyAlignment="1">
      <alignment vertical="center"/>
    </xf>
    <xf numFmtId="0" fontId="3" fillId="12" borderId="0" xfId="0" applyFont="1" applyFill="1" applyBorder="1" applyAlignment="1">
      <alignment horizontal="right" vertical="center"/>
    </xf>
    <xf numFmtId="0" fontId="3" fillId="12" borderId="1" xfId="0" applyFont="1" applyFill="1" applyBorder="1" applyAlignment="1">
      <alignment vertical="center"/>
    </xf>
    <xf numFmtId="0" fontId="6" fillId="12" borderId="0" xfId="0" applyFont="1" applyFill="1" applyBorder="1" applyAlignment="1">
      <alignment vertical="center"/>
    </xf>
    <xf numFmtId="0" fontId="6" fillId="12" borderId="0" xfId="0" applyFont="1" applyFill="1" applyBorder="1" applyAlignment="1" applyProtection="1">
      <alignment horizontal="left" vertical="top"/>
      <protection/>
    </xf>
    <xf numFmtId="0" fontId="3" fillId="12" borderId="0" xfId="0" applyFont="1" applyFill="1" applyBorder="1" applyAlignment="1" applyProtection="1">
      <alignment vertical="top"/>
      <protection/>
    </xf>
    <xf numFmtId="0" fontId="3" fillId="12" borderId="0" xfId="0" applyFont="1" applyFill="1" applyBorder="1" applyAlignment="1" applyProtection="1">
      <alignment horizontal="left" vertical="top"/>
      <protection/>
    </xf>
    <xf numFmtId="49" fontId="3" fillId="12" borderId="0" xfId="0" applyNumberFormat="1" applyFont="1" applyFill="1" applyBorder="1" applyAlignment="1">
      <alignment vertical="center"/>
    </xf>
    <xf numFmtId="49" fontId="3" fillId="12" borderId="0" xfId="0" applyNumberFormat="1" applyFont="1" applyFill="1" applyBorder="1" applyAlignment="1">
      <alignment horizontal="center" vertical="center"/>
    </xf>
    <xf numFmtId="49" fontId="3" fillId="12" borderId="3" xfId="0" applyNumberFormat="1" applyFont="1" applyFill="1" applyBorder="1" applyAlignment="1" applyProtection="1">
      <alignment vertical="center"/>
      <protection/>
    </xf>
    <xf numFmtId="49" fontId="3" fillId="12" borderId="0" xfId="0" applyNumberFormat="1" applyFont="1" applyFill="1" applyAlignment="1">
      <alignment vertical="center"/>
    </xf>
    <xf numFmtId="0" fontId="3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vertical="center"/>
    </xf>
    <xf numFmtId="0" fontId="3" fillId="12" borderId="0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Alignment="1">
      <alignment vertical="center"/>
    </xf>
    <xf numFmtId="0" fontId="3" fillId="13" borderId="0" xfId="0" applyFont="1" applyFill="1" applyBorder="1" applyAlignment="1" applyProtection="1">
      <alignment vertical="top" wrapText="1"/>
      <protection/>
    </xf>
    <xf numFmtId="0" fontId="3" fillId="13" borderId="0" xfId="0" applyFont="1" applyFill="1" applyBorder="1" applyAlignment="1" applyProtection="1">
      <alignment vertical="center"/>
      <protection/>
    </xf>
    <xf numFmtId="0" fontId="3" fillId="13" borderId="0" xfId="0" applyFont="1" applyFill="1" applyBorder="1" applyAlignment="1" applyProtection="1">
      <alignment vertical="top"/>
      <protection/>
    </xf>
    <xf numFmtId="0" fontId="3" fillId="13" borderId="0" xfId="0" applyFont="1" applyFill="1" applyBorder="1" applyAlignment="1" applyProtection="1">
      <alignment horizontal="left" vertical="top"/>
      <protection/>
    </xf>
    <xf numFmtId="49" fontId="3" fillId="13" borderId="0" xfId="0" applyNumberFormat="1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horizontal="right" vertical="center"/>
    </xf>
    <xf numFmtId="0" fontId="3" fillId="13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0" fontId="3" fillId="11" borderId="0" xfId="0" applyFont="1" applyFill="1" applyBorder="1" applyAlignment="1" applyProtection="1">
      <alignment vertical="top"/>
      <protection/>
    </xf>
    <xf numFmtId="0" fontId="3" fillId="11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 applyProtection="1">
      <alignment horizontal="left" vertical="top"/>
      <protection/>
    </xf>
    <xf numFmtId="0" fontId="3" fillId="11" borderId="0" xfId="0" applyFont="1" applyFill="1" applyBorder="1" applyAlignment="1" applyProtection="1">
      <alignment horizontal="left" vertical="top"/>
      <protection/>
    </xf>
    <xf numFmtId="0" fontId="3" fillId="14" borderId="0" xfId="0" applyFont="1" applyFill="1" applyBorder="1" applyAlignment="1">
      <alignment vertical="center"/>
    </xf>
    <xf numFmtId="0" fontId="3" fillId="14" borderId="0" xfId="0" applyFont="1" applyFill="1" applyBorder="1" applyAlignment="1" applyProtection="1">
      <alignment vertical="top" wrapText="1"/>
      <protection/>
    </xf>
    <xf numFmtId="0" fontId="3" fillId="14" borderId="0" xfId="0" applyFont="1" applyFill="1" applyBorder="1" applyAlignment="1" applyProtection="1">
      <alignment vertical="center"/>
      <protection/>
    </xf>
    <xf numFmtId="0" fontId="3" fillId="14" borderId="0" xfId="0" applyFont="1" applyFill="1" applyBorder="1" applyAlignment="1" applyProtection="1">
      <alignment vertical="top"/>
      <protection/>
    </xf>
    <xf numFmtId="0" fontId="3" fillId="14" borderId="0" xfId="0" applyFont="1" applyFill="1" applyBorder="1" applyAlignment="1" applyProtection="1">
      <alignment horizontal="left" vertical="top"/>
      <protection/>
    </xf>
    <xf numFmtId="0" fontId="3" fillId="14" borderId="0" xfId="0" applyFont="1" applyFill="1" applyBorder="1" applyAlignment="1">
      <alignment horizontal="right" vertical="center"/>
    </xf>
    <xf numFmtId="0" fontId="3" fillId="14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vertical="center"/>
    </xf>
    <xf numFmtId="49" fontId="3" fillId="14" borderId="0" xfId="0" applyNumberFormat="1" applyFont="1" applyFill="1" applyBorder="1" applyAlignment="1">
      <alignment vertical="center"/>
    </xf>
    <xf numFmtId="49" fontId="3" fillId="11" borderId="0" xfId="0" applyNumberFormat="1" applyFont="1" applyFill="1" applyBorder="1" applyAlignment="1">
      <alignment vertical="center"/>
    </xf>
    <xf numFmtId="49" fontId="3" fillId="11" borderId="0" xfId="0" applyNumberFormat="1" applyFont="1" applyFill="1" applyBorder="1" applyAlignment="1">
      <alignment horizontal="center" vertical="center"/>
    </xf>
    <xf numFmtId="49" fontId="3" fillId="11" borderId="3" xfId="0" applyNumberFormat="1" applyFont="1" applyFill="1" applyBorder="1" applyAlignment="1" applyProtection="1">
      <alignment vertical="center"/>
      <protection/>
    </xf>
    <xf numFmtId="49" fontId="3" fillId="11" borderId="0" xfId="0" applyNumberFormat="1" applyFont="1" applyFill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9" fontId="3" fillId="7" borderId="0" xfId="0" applyNumberFormat="1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 applyProtection="1">
      <alignment vertical="center"/>
      <protection/>
    </xf>
    <xf numFmtId="49" fontId="3" fillId="4" borderId="0" xfId="0" applyNumberFormat="1" applyFont="1" applyFill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vertical="center"/>
    </xf>
    <xf numFmtId="0" fontId="0" fillId="3" borderId="7" xfId="0" applyNumberFormat="1" applyFill="1" applyBorder="1" applyAlignment="1">
      <alignment vertical="center"/>
    </xf>
    <xf numFmtId="0" fontId="0" fillId="3" borderId="8" xfId="0" applyNumberFormat="1" applyFill="1" applyBorder="1" applyAlignment="1">
      <alignment vertical="center"/>
    </xf>
    <xf numFmtId="0" fontId="0" fillId="3" borderId="9" xfId="0" applyNumberForma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0" fontId="3" fillId="5" borderId="2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5" borderId="1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 applyProtection="1">
      <alignment vertical="center"/>
      <protection/>
    </xf>
    <xf numFmtId="0" fontId="3" fillId="2" borderId="2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6" borderId="0" xfId="0" applyNumberFormat="1" applyFont="1" applyFill="1" applyBorder="1" applyAlignment="1">
      <alignment vertical="center"/>
    </xf>
    <xf numFmtId="0" fontId="3" fillId="7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 applyProtection="1">
      <alignment vertical="top" wrapText="1"/>
      <protection/>
    </xf>
    <xf numFmtId="0" fontId="3" fillId="4" borderId="0" xfId="0" applyNumberFormat="1" applyFont="1" applyFill="1" applyBorder="1" applyAlignment="1" applyProtection="1">
      <alignment vertical="center"/>
      <protection/>
    </xf>
    <xf numFmtId="0" fontId="3" fillId="7" borderId="0" xfId="0" applyNumberFormat="1" applyFont="1" applyFill="1" applyBorder="1" applyAlignment="1" applyProtection="1">
      <alignment vertical="center"/>
      <protection/>
    </xf>
    <xf numFmtId="0" fontId="3" fillId="4" borderId="0" xfId="0" applyNumberFormat="1" applyFont="1" applyFill="1" applyBorder="1" applyAlignment="1" applyProtection="1">
      <alignment vertical="top"/>
      <protection/>
    </xf>
    <xf numFmtId="0" fontId="3" fillId="4" borderId="0" xfId="0" applyNumberFormat="1" applyFont="1" applyFill="1" applyBorder="1" applyAlignment="1" applyProtection="1">
      <alignment horizontal="left" vertical="top"/>
      <protection/>
    </xf>
    <xf numFmtId="0" fontId="3" fillId="4" borderId="0" xfId="0" applyNumberFormat="1" applyFont="1" applyFill="1" applyBorder="1" applyAlignment="1" applyProtection="1">
      <alignment vertical="center"/>
      <protection/>
    </xf>
    <xf numFmtId="0" fontId="3" fillId="8" borderId="0" xfId="0" applyNumberFormat="1" applyFont="1" applyFill="1" applyBorder="1" applyAlignment="1">
      <alignment vertical="center"/>
    </xf>
    <xf numFmtId="0" fontId="3" fillId="13" borderId="0" xfId="0" applyNumberFormat="1" applyFont="1" applyFill="1" applyBorder="1" applyAlignment="1">
      <alignment vertical="center"/>
    </xf>
    <xf numFmtId="0" fontId="3" fillId="12" borderId="0" xfId="0" applyNumberFormat="1" applyFont="1" applyFill="1" applyBorder="1" applyAlignment="1">
      <alignment vertical="center"/>
    </xf>
    <xf numFmtId="0" fontId="3" fillId="12" borderId="1" xfId="0" applyNumberFormat="1" applyFont="1" applyFill="1" applyBorder="1" applyAlignment="1">
      <alignment vertical="center"/>
    </xf>
    <xf numFmtId="0" fontId="3" fillId="12" borderId="0" xfId="0" applyNumberFormat="1" applyFont="1" applyFill="1" applyBorder="1" applyAlignment="1" applyProtection="1">
      <alignment vertical="top" wrapText="1"/>
      <protection/>
    </xf>
    <xf numFmtId="0" fontId="3" fillId="12" borderId="0" xfId="0" applyNumberFormat="1" applyFont="1" applyFill="1" applyBorder="1" applyAlignment="1" applyProtection="1">
      <alignment vertical="center"/>
      <protection/>
    </xf>
    <xf numFmtId="0" fontId="3" fillId="13" borderId="0" xfId="0" applyNumberFormat="1" applyFont="1" applyFill="1" applyBorder="1" applyAlignment="1" applyProtection="1">
      <alignment vertical="center"/>
      <protection/>
    </xf>
    <xf numFmtId="0" fontId="3" fillId="12" borderId="0" xfId="0" applyNumberFormat="1" applyFont="1" applyFill="1" applyBorder="1" applyAlignment="1" applyProtection="1">
      <alignment vertical="top"/>
      <protection/>
    </xf>
    <xf numFmtId="0" fontId="3" fillId="12" borderId="0" xfId="0" applyNumberFormat="1" applyFont="1" applyFill="1" applyBorder="1" applyAlignment="1" applyProtection="1">
      <alignment horizontal="left" vertical="top"/>
      <protection/>
    </xf>
    <xf numFmtId="0" fontId="3" fillId="12" borderId="0" xfId="0" applyNumberFormat="1" applyFont="1" applyFill="1" applyBorder="1" applyAlignment="1" applyProtection="1">
      <alignment vertical="center"/>
      <protection/>
    </xf>
    <xf numFmtId="0" fontId="3" fillId="9" borderId="0" xfId="0" applyNumberFormat="1" applyFont="1" applyFill="1" applyBorder="1" applyAlignment="1">
      <alignment vertical="center"/>
    </xf>
    <xf numFmtId="0" fontId="3" fillId="14" borderId="0" xfId="0" applyNumberFormat="1" applyFont="1" applyFill="1" applyBorder="1" applyAlignment="1">
      <alignment vertical="center"/>
    </xf>
    <xf numFmtId="0" fontId="3" fillId="11" borderId="0" xfId="0" applyNumberFormat="1" applyFont="1" applyFill="1" applyBorder="1" applyAlignment="1">
      <alignment vertical="center"/>
    </xf>
    <xf numFmtId="0" fontId="3" fillId="11" borderId="1" xfId="0" applyNumberFormat="1" applyFont="1" applyFill="1" applyBorder="1" applyAlignment="1">
      <alignment vertical="center"/>
    </xf>
    <xf numFmtId="0" fontId="3" fillId="11" borderId="0" xfId="0" applyNumberFormat="1" applyFont="1" applyFill="1" applyBorder="1" applyAlignment="1" applyProtection="1">
      <alignment vertical="top" wrapText="1"/>
      <protection/>
    </xf>
    <xf numFmtId="0" fontId="3" fillId="11" borderId="0" xfId="0" applyNumberFormat="1" applyFont="1" applyFill="1" applyBorder="1" applyAlignment="1" applyProtection="1">
      <alignment vertical="center"/>
      <protection/>
    </xf>
    <xf numFmtId="0" fontId="3" fillId="14" borderId="0" xfId="0" applyNumberFormat="1" applyFont="1" applyFill="1" applyBorder="1" applyAlignment="1" applyProtection="1">
      <alignment vertical="center"/>
      <protection/>
    </xf>
    <xf numFmtId="0" fontId="3" fillId="11" borderId="0" xfId="0" applyNumberFormat="1" applyFont="1" applyFill="1" applyBorder="1" applyAlignment="1" applyProtection="1">
      <alignment vertical="top"/>
      <protection/>
    </xf>
    <xf numFmtId="0" fontId="3" fillId="11" borderId="0" xfId="0" applyNumberFormat="1" applyFont="1" applyFill="1" applyBorder="1" applyAlignment="1" applyProtection="1">
      <alignment horizontal="left" vertical="top"/>
      <protection/>
    </xf>
    <xf numFmtId="0" fontId="3" fillId="11" borderId="0" xfId="0" applyNumberFormat="1" applyFont="1" applyFill="1" applyBorder="1" applyAlignment="1" applyProtection="1">
      <alignment vertical="center"/>
      <protection/>
    </xf>
    <xf numFmtId="0" fontId="3" fillId="15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12" borderId="0" xfId="0" applyNumberFormat="1" applyFont="1" applyFill="1" applyBorder="1" applyAlignment="1">
      <alignment horizontal="center" vertical="center"/>
    </xf>
    <xf numFmtId="0" fontId="3" fillId="12" borderId="3" xfId="0" applyNumberFormat="1" applyFont="1" applyFill="1" applyBorder="1" applyAlignment="1" applyProtection="1">
      <alignment vertical="center"/>
      <protection/>
    </xf>
    <xf numFmtId="0" fontId="3" fillId="12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12" borderId="0" xfId="0" applyNumberFormat="1" applyFont="1" applyFill="1" applyBorder="1" applyAlignment="1" applyProtection="1">
      <alignment vertical="center"/>
      <protection/>
    </xf>
    <xf numFmtId="0" fontId="6" fillId="12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10" borderId="11" xfId="0" applyFont="1" applyFill="1" applyBorder="1" applyAlignment="1">
      <alignment vertical="center"/>
    </xf>
    <xf numFmtId="0" fontId="2" fillId="10" borderId="11" xfId="0" applyFont="1" applyFill="1" applyBorder="1" applyAlignment="1">
      <alignment horizontal="center" vertical="center"/>
    </xf>
    <xf numFmtId="0" fontId="4" fillId="16" borderId="0" xfId="0" applyFont="1" applyFill="1" applyAlignment="1">
      <alignment vertical="center"/>
    </xf>
    <xf numFmtId="0" fontId="0" fillId="17" borderId="0" xfId="0" applyFill="1" applyAlignment="1">
      <alignment vertical="center" textRotation="255"/>
    </xf>
    <xf numFmtId="0" fontId="0" fillId="17" borderId="0" xfId="0" applyFill="1" applyAlignment="1">
      <alignment vertical="center"/>
    </xf>
    <xf numFmtId="0" fontId="10" fillId="17" borderId="0" xfId="0" applyFont="1" applyFill="1" applyAlignment="1">
      <alignment vertical="center"/>
    </xf>
    <xf numFmtId="0" fontId="0" fillId="17" borderId="0" xfId="0" applyFill="1" applyAlignment="1">
      <alignment horizontal="right" vertical="center"/>
    </xf>
    <xf numFmtId="0" fontId="0" fillId="17" borderId="0" xfId="0" applyFill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vertical="center"/>
    </xf>
    <xf numFmtId="0" fontId="3" fillId="17" borderId="0" xfId="0" applyFont="1" applyFill="1" applyAlignment="1">
      <alignment vertical="center"/>
    </xf>
    <xf numFmtId="0" fontId="3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horizontal="center"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ill="1" applyAlignment="1" applyProtection="1">
      <alignment horizontal="right" vertical="center"/>
      <protection/>
    </xf>
    <xf numFmtId="0" fontId="0" fillId="17" borderId="0" xfId="0" applyFill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>
      <alignment vertical="center"/>
    </xf>
    <xf numFmtId="0" fontId="6" fillId="18" borderId="0" xfId="0" applyFont="1" applyFill="1" applyBorder="1" applyAlignment="1">
      <alignment vertical="center"/>
    </xf>
    <xf numFmtId="0" fontId="3" fillId="18" borderId="0" xfId="0" applyFont="1" applyFill="1" applyBorder="1" applyAlignment="1" applyProtection="1">
      <alignment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14" borderId="0" xfId="0" applyFill="1" applyAlignment="1">
      <alignment vertical="center"/>
    </xf>
    <xf numFmtId="0" fontId="0" fillId="14" borderId="0" xfId="0" applyNumberFormat="1" applyFill="1" applyAlignment="1">
      <alignment vertical="center"/>
    </xf>
    <xf numFmtId="0" fontId="3" fillId="19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6" fillId="20" borderId="0" xfId="0" applyFont="1" applyFill="1" applyBorder="1" applyAlignment="1">
      <alignment vertical="center"/>
    </xf>
    <xf numFmtId="0" fontId="3" fillId="20" borderId="0" xfId="0" applyNumberFormat="1" applyFont="1" applyFill="1" applyBorder="1" applyAlignment="1">
      <alignment vertical="center"/>
    </xf>
    <xf numFmtId="0" fontId="3" fillId="20" borderId="1" xfId="0" applyFont="1" applyFill="1" applyBorder="1" applyAlignment="1">
      <alignment vertical="center"/>
    </xf>
    <xf numFmtId="0" fontId="3" fillId="20" borderId="1" xfId="0" applyNumberFormat="1" applyFont="1" applyFill="1" applyBorder="1" applyAlignment="1">
      <alignment vertical="center"/>
    </xf>
    <xf numFmtId="0" fontId="3" fillId="20" borderId="0" xfId="0" applyNumberFormat="1" applyFont="1" applyFill="1" applyBorder="1" applyAlignment="1" applyProtection="1">
      <alignment vertical="top" wrapText="1"/>
      <protection/>
    </xf>
    <xf numFmtId="0" fontId="3" fillId="20" borderId="0" xfId="0" applyFont="1" applyFill="1" applyBorder="1" applyAlignment="1">
      <alignment horizontal="right" vertical="center"/>
    </xf>
    <xf numFmtId="0" fontId="3" fillId="20" borderId="0" xfId="0" applyNumberFormat="1" applyFont="1" applyFill="1" applyBorder="1" applyAlignment="1" applyProtection="1">
      <alignment vertical="center"/>
      <protection/>
    </xf>
    <xf numFmtId="0" fontId="3" fillId="20" borderId="0" xfId="0" applyNumberFormat="1" applyFont="1" applyFill="1" applyBorder="1" applyAlignment="1" applyProtection="1">
      <alignment vertical="top"/>
      <protection/>
    </xf>
    <xf numFmtId="0" fontId="3" fillId="20" borderId="0" xfId="0" applyFont="1" applyFill="1" applyBorder="1" applyAlignment="1">
      <alignment horizontal="center" vertical="center"/>
    </xf>
    <xf numFmtId="0" fontId="6" fillId="20" borderId="0" xfId="0" applyFont="1" applyFill="1" applyBorder="1" applyAlignment="1" applyProtection="1">
      <alignment horizontal="left" vertical="top"/>
      <protection/>
    </xf>
    <xf numFmtId="0" fontId="0" fillId="2" borderId="7" xfId="0" applyFill="1" applyBorder="1" applyAlignment="1">
      <alignment horizontal="left" vertical="center"/>
    </xf>
    <xf numFmtId="0" fontId="3" fillId="20" borderId="0" xfId="0" applyFont="1" applyFill="1" applyBorder="1" applyAlignment="1" applyProtection="1">
      <alignment vertical="top"/>
      <protection/>
    </xf>
    <xf numFmtId="0" fontId="3" fillId="20" borderId="0" xfId="0" applyNumberFormat="1" applyFont="1" applyFill="1" applyBorder="1" applyAlignment="1" applyProtection="1">
      <alignment horizontal="left" vertical="top"/>
      <protection/>
    </xf>
    <xf numFmtId="0" fontId="3" fillId="20" borderId="0" xfId="0" applyFont="1" applyFill="1" applyBorder="1" applyAlignment="1" applyProtection="1">
      <alignment horizontal="left" vertical="top"/>
      <protection/>
    </xf>
    <xf numFmtId="49" fontId="3" fillId="20" borderId="0" xfId="0" applyNumberFormat="1" applyFont="1" applyFill="1" applyBorder="1" applyAlignment="1">
      <alignment vertical="center"/>
    </xf>
    <xf numFmtId="49" fontId="3" fillId="20" borderId="0" xfId="0" applyNumberFormat="1" applyFont="1" applyFill="1" applyBorder="1" applyAlignment="1">
      <alignment horizontal="center" vertical="center"/>
    </xf>
    <xf numFmtId="49" fontId="3" fillId="20" borderId="3" xfId="0" applyNumberFormat="1" applyFont="1" applyFill="1" applyBorder="1" applyAlignment="1" applyProtection="1">
      <alignment vertical="center"/>
      <protection/>
    </xf>
    <xf numFmtId="49" fontId="3" fillId="20" borderId="0" xfId="0" applyNumberFormat="1" applyFont="1" applyFill="1" applyAlignment="1">
      <alignment vertical="center"/>
    </xf>
    <xf numFmtId="0" fontId="3" fillId="20" borderId="0" xfId="0" applyNumberFormat="1" applyFont="1" applyFill="1" applyBorder="1" applyAlignment="1" applyProtection="1">
      <alignment vertical="center"/>
      <protection/>
    </xf>
    <xf numFmtId="0" fontId="9" fillId="20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horizontal="left" vertical="center"/>
    </xf>
    <xf numFmtId="0" fontId="6" fillId="20" borderId="0" xfId="0" applyNumberFormat="1" applyFont="1" applyFill="1" applyBorder="1" applyAlignment="1">
      <alignment vertical="center"/>
    </xf>
    <xf numFmtId="0" fontId="3" fillId="20" borderId="0" xfId="0" applyNumberFormat="1" applyFont="1" applyFill="1" applyBorder="1" applyAlignment="1">
      <alignment horizontal="center" vertical="center"/>
    </xf>
    <xf numFmtId="0" fontId="3" fillId="20" borderId="3" xfId="0" applyNumberFormat="1" applyFont="1" applyFill="1" applyBorder="1" applyAlignment="1" applyProtection="1">
      <alignment vertical="center"/>
      <protection/>
    </xf>
    <xf numFmtId="0" fontId="3" fillId="20" borderId="0" xfId="0" applyNumberFormat="1" applyFont="1" applyFill="1" applyAlignment="1">
      <alignment vertical="center"/>
    </xf>
    <xf numFmtId="0" fontId="5" fillId="20" borderId="0" xfId="0" applyFont="1" applyFill="1" applyBorder="1" applyAlignment="1">
      <alignment vertical="center"/>
    </xf>
    <xf numFmtId="0" fontId="6" fillId="20" borderId="0" xfId="0" applyNumberFormat="1" applyFont="1" applyFill="1" applyBorder="1" applyAlignment="1" applyProtection="1">
      <alignment vertical="center"/>
      <protection/>
    </xf>
    <xf numFmtId="0" fontId="3" fillId="19" borderId="0" xfId="0" applyFont="1" applyFill="1" applyAlignment="1">
      <alignment vertical="center"/>
    </xf>
    <xf numFmtId="0" fontId="3" fillId="19" borderId="0" xfId="0" applyFont="1" applyFill="1" applyBorder="1" applyAlignment="1" applyProtection="1">
      <alignment vertical="top" wrapText="1"/>
      <protection/>
    </xf>
    <xf numFmtId="0" fontId="3" fillId="19" borderId="0" xfId="0" applyFont="1" applyFill="1" applyBorder="1" applyAlignment="1" applyProtection="1">
      <alignment vertical="center"/>
      <protection/>
    </xf>
    <xf numFmtId="0" fontId="3" fillId="19" borderId="0" xfId="0" applyFont="1" applyFill="1" applyBorder="1" applyAlignment="1" applyProtection="1">
      <alignment vertical="top"/>
      <protection/>
    </xf>
    <xf numFmtId="0" fontId="3" fillId="19" borderId="0" xfId="0" applyFont="1" applyFill="1" applyBorder="1" applyAlignment="1" applyProtection="1">
      <alignment horizontal="left" vertical="top"/>
      <protection/>
    </xf>
    <xf numFmtId="49" fontId="3" fillId="19" borderId="0" xfId="0" applyNumberFormat="1" applyFont="1" applyFill="1" applyBorder="1" applyAlignment="1">
      <alignment vertical="center"/>
    </xf>
    <xf numFmtId="0" fontId="3" fillId="19" borderId="0" xfId="0" applyNumberFormat="1" applyFont="1" applyFill="1" applyBorder="1" applyAlignment="1">
      <alignment vertical="center"/>
    </xf>
    <xf numFmtId="0" fontId="3" fillId="19" borderId="0" xfId="0" applyFont="1" applyFill="1" applyBorder="1" applyAlignment="1">
      <alignment horizontal="right" vertical="center"/>
    </xf>
    <xf numFmtId="0" fontId="3" fillId="19" borderId="0" xfId="0" applyNumberFormat="1" applyFont="1" applyFill="1" applyBorder="1" applyAlignment="1" applyProtection="1">
      <alignment vertical="center"/>
      <protection/>
    </xf>
    <xf numFmtId="0" fontId="3" fillId="19" borderId="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vertical="center"/>
    </xf>
    <xf numFmtId="0" fontId="3" fillId="21" borderId="0" xfId="0" applyNumberFormat="1" applyFont="1" applyFill="1" applyBorder="1" applyAlignment="1">
      <alignment vertical="center"/>
    </xf>
    <xf numFmtId="0" fontId="3" fillId="21" borderId="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vertical="center"/>
    </xf>
    <xf numFmtId="0" fontId="6" fillId="21" borderId="0" xfId="0" applyFont="1" applyFill="1" applyBorder="1" applyAlignment="1">
      <alignment vertical="center"/>
    </xf>
    <xf numFmtId="0" fontId="0" fillId="17" borderId="12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8" xfId="0" applyFill="1" applyBorder="1" applyAlignment="1">
      <alignment vertical="center"/>
    </xf>
    <xf numFmtId="0" fontId="0" fillId="2" borderId="24" xfId="0" applyFill="1" applyBorder="1" applyAlignment="1">
      <alignment horizontal="right"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18" borderId="10" xfId="0" applyFill="1" applyBorder="1" applyAlignment="1">
      <alignment horizontal="left" vertical="center"/>
    </xf>
    <xf numFmtId="0" fontId="0" fillId="18" borderId="1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18" borderId="4" xfId="0" applyFill="1" applyBorder="1" applyAlignment="1">
      <alignment horizontal="left" vertical="center"/>
    </xf>
    <xf numFmtId="0" fontId="0" fillId="18" borderId="9" xfId="0" applyFill="1" applyBorder="1" applyAlignment="1">
      <alignment horizontal="left" vertical="center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31" xfId="0" applyFill="1" applyBorder="1" applyAlignment="1">
      <alignment vertical="center"/>
    </xf>
    <xf numFmtId="0" fontId="0" fillId="18" borderId="32" xfId="0" applyFill="1" applyBorder="1" applyAlignment="1">
      <alignment vertical="center"/>
    </xf>
    <xf numFmtId="0" fontId="0" fillId="18" borderId="32" xfId="0" applyFill="1" applyBorder="1" applyAlignment="1">
      <alignment horizontal="left" vertical="center"/>
    </xf>
    <xf numFmtId="0" fontId="0" fillId="2" borderId="28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17" borderId="0" xfId="0" applyFont="1" applyFill="1" applyBorder="1" applyAlignment="1">
      <alignment vertical="top" wrapText="1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17" borderId="3" xfId="0" applyFont="1" applyFill="1" applyBorder="1" applyAlignment="1">
      <alignment horizontal="left" vertical="top" wrapText="1"/>
    </xf>
    <xf numFmtId="0" fontId="0" fillId="2" borderId="34" xfId="0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4" xfId="0" applyFill="1" applyBorder="1" applyAlignment="1">
      <alignment horizontal="left" vertical="center"/>
    </xf>
    <xf numFmtId="0" fontId="0" fillId="18" borderId="24" xfId="0" applyFill="1" applyBorder="1" applyAlignment="1" applyProtection="1">
      <alignment horizontal="center" vertical="center"/>
      <protection/>
    </xf>
    <xf numFmtId="0" fontId="0" fillId="18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0" xfId="0" applyFill="1" applyBorder="1" applyAlignment="1">
      <alignment horizontal="left" vertical="center"/>
    </xf>
    <xf numFmtId="0" fontId="0" fillId="2" borderId="2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7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38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3" fillId="2" borderId="39" xfId="0" applyFont="1" applyFill="1" applyBorder="1" applyAlignment="1">
      <alignment horizontal="left" vertical="top" wrapText="1"/>
    </xf>
    <xf numFmtId="0" fontId="0" fillId="18" borderId="11" xfId="0" applyFill="1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2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left" vertical="center"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horizontal="right" vertical="center"/>
    </xf>
    <xf numFmtId="0" fontId="0" fillId="17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top" wrapText="1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3" fillId="17" borderId="4" xfId="0" applyFont="1" applyFill="1" applyBorder="1" applyAlignment="1">
      <alignment vertical="top" wrapText="1"/>
    </xf>
    <xf numFmtId="0" fontId="3" fillId="17" borderId="1" xfId="0" applyFont="1" applyFill="1" applyBorder="1" applyAlignment="1">
      <alignment vertical="top" wrapText="1"/>
    </xf>
    <xf numFmtId="0" fontId="3" fillId="17" borderId="5" xfId="0" applyFont="1" applyFill="1" applyBorder="1" applyAlignment="1">
      <alignment vertical="top" wrapText="1"/>
    </xf>
    <xf numFmtId="0" fontId="3" fillId="17" borderId="2" xfId="0" applyFont="1" applyFill="1" applyBorder="1" applyAlignment="1">
      <alignment vertical="top" wrapText="1"/>
    </xf>
    <xf numFmtId="0" fontId="3" fillId="17" borderId="3" xfId="0" applyFont="1" applyFill="1" applyBorder="1" applyAlignment="1">
      <alignment vertical="top" wrapText="1"/>
    </xf>
    <xf numFmtId="0" fontId="0" fillId="2" borderId="3" xfId="0" applyFill="1" applyBorder="1" applyAlignment="1">
      <alignment vertical="center"/>
    </xf>
    <xf numFmtId="0" fontId="0" fillId="17" borderId="18" xfId="0" applyFill="1" applyBorder="1" applyAlignment="1">
      <alignment horizontal="right" vertical="center"/>
    </xf>
    <xf numFmtId="0" fontId="0" fillId="18" borderId="52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18" xfId="0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2" borderId="18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11" borderId="10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3" borderId="18" xfId="0" applyFill="1" applyBorder="1" applyAlignment="1">
      <alignment vertical="center"/>
    </xf>
    <xf numFmtId="0" fontId="0" fillId="17" borderId="0" xfId="0" applyFill="1" applyBorder="1" applyAlignment="1">
      <alignment horizontal="left" vertical="center"/>
    </xf>
    <xf numFmtId="0" fontId="3" fillId="17" borderId="0" xfId="0" applyFont="1" applyFill="1" applyBorder="1" applyAlignment="1" applyProtection="1">
      <alignment vertical="center"/>
      <protection/>
    </xf>
    <xf numFmtId="0" fontId="0" fillId="4" borderId="4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right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21" xfId="0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horizontal="right" vertical="center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22" xfId="0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right"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right"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0" fillId="4" borderId="10" xfId="0" applyFont="1" applyFill="1" applyBorder="1" applyAlignment="1">
      <alignment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ont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horizontal="left" vertical="center"/>
    </xf>
    <xf numFmtId="0" fontId="0" fillId="4" borderId="28" xfId="0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horizontal="right" vertical="center"/>
      <protection/>
    </xf>
    <xf numFmtId="0" fontId="0" fillId="4" borderId="30" xfId="0" applyFill="1" applyBorder="1" applyAlignment="1" applyProtection="1">
      <alignment vertical="center"/>
      <protection/>
    </xf>
    <xf numFmtId="0" fontId="0" fillId="4" borderId="25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" xfId="0" applyFill="1" applyBorder="1" applyAlignment="1" applyProtection="1">
      <alignment horizontal="left" vertical="center"/>
      <protection/>
    </xf>
    <xf numFmtId="0" fontId="0" fillId="4" borderId="4" xfId="0" applyFill="1" applyBorder="1" applyAlignment="1">
      <alignment horizontal="left" vertical="center"/>
    </xf>
    <xf numFmtId="0" fontId="0" fillId="4" borderId="22" xfId="0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11" xfId="0" applyFill="1" applyBorder="1" applyAlignment="1">
      <alignment vertical="center"/>
    </xf>
    <xf numFmtId="0" fontId="0" fillId="4" borderId="32" xfId="0" applyFill="1" applyBorder="1" applyAlignment="1">
      <alignment horizontal="left" vertical="center"/>
    </xf>
    <xf numFmtId="0" fontId="0" fillId="4" borderId="28" xfId="0" applyFill="1" applyBorder="1" applyAlignment="1" applyProtection="1">
      <alignment vertical="center"/>
      <protection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8" xfId="0" applyFill="1" applyBorder="1" applyAlignment="1">
      <alignment horizontal="left" vertical="center"/>
    </xf>
    <xf numFmtId="0" fontId="3" fillId="17" borderId="0" xfId="0" applyFont="1" applyFill="1" applyBorder="1" applyAlignment="1" applyProtection="1">
      <alignment vertical="top" wrapText="1"/>
      <protection/>
    </xf>
    <xf numFmtId="0" fontId="0" fillId="4" borderId="7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right" vertical="center"/>
    </xf>
    <xf numFmtId="0" fontId="0" fillId="4" borderId="9" xfId="0" applyFill="1" applyBorder="1" applyAlignment="1" applyProtection="1">
      <alignment vertical="center"/>
      <protection/>
    </xf>
    <xf numFmtId="0" fontId="3" fillId="17" borderId="3" xfId="0" applyFont="1" applyFill="1" applyBorder="1" applyAlignment="1" applyProtection="1">
      <alignment horizontal="left" vertical="top" wrapText="1"/>
      <protection/>
    </xf>
    <xf numFmtId="0" fontId="0" fillId="4" borderId="20" xfId="0" applyFill="1" applyBorder="1" applyAlignment="1" applyProtection="1">
      <alignment horizontal="left" vertical="top" wrapText="1"/>
      <protection/>
    </xf>
    <xf numFmtId="0" fontId="0" fillId="4" borderId="7" xfId="0" applyFill="1" applyBorder="1" applyAlignment="1" applyProtection="1">
      <alignment horizontal="left" vertical="center"/>
      <protection/>
    </xf>
    <xf numFmtId="0" fontId="0" fillId="4" borderId="53" xfId="0" applyFill="1" applyBorder="1" applyAlignment="1" applyProtection="1">
      <alignment vertical="center"/>
      <protection/>
    </xf>
    <xf numFmtId="0" fontId="0" fillId="4" borderId="3" xfId="0" applyFill="1" applyBorder="1" applyAlignment="1" applyProtection="1">
      <alignment vertical="center"/>
      <protection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 applyProtection="1">
      <alignment horizontal="center" vertical="center"/>
      <protection/>
    </xf>
    <xf numFmtId="0" fontId="0" fillId="4" borderId="37" xfId="0" applyFill="1" applyBorder="1" applyAlignment="1" applyProtection="1">
      <alignment horizontal="center" vertical="center"/>
      <protection/>
    </xf>
    <xf numFmtId="0" fontId="0" fillId="4" borderId="34" xfId="0" applyFill="1" applyBorder="1" applyAlignment="1">
      <alignment horizontal="center" vertical="center"/>
    </xf>
    <xf numFmtId="0" fontId="0" fillId="4" borderId="29" xfId="0" applyFill="1" applyBorder="1" applyAlignment="1">
      <alignment vertical="center"/>
    </xf>
    <xf numFmtId="0" fontId="0" fillId="4" borderId="29" xfId="0" applyFill="1" applyBorder="1" applyAlignment="1">
      <alignment horizontal="right" vertical="center"/>
    </xf>
    <xf numFmtId="0" fontId="0" fillId="4" borderId="29" xfId="0" applyFill="1" applyBorder="1" applyAlignment="1">
      <alignment horizontal="left" vertical="center"/>
    </xf>
    <xf numFmtId="0" fontId="0" fillId="4" borderId="29" xfId="0" applyFill="1" applyBorder="1" applyAlignment="1" applyProtection="1">
      <alignment horizontal="center" vertical="center"/>
      <protection/>
    </xf>
    <xf numFmtId="0" fontId="0" fillId="4" borderId="43" xfId="0" applyFill="1" applyBorder="1" applyAlignment="1" applyProtection="1">
      <alignment horizontal="center" vertical="center"/>
      <protection/>
    </xf>
    <xf numFmtId="0" fontId="0" fillId="4" borderId="33" xfId="0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0" fillId="4" borderId="19" xfId="0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38" xfId="0" applyFill="1" applyBorder="1" applyAlignment="1" applyProtection="1">
      <alignment horizontal="center" vertical="center"/>
      <protection/>
    </xf>
    <xf numFmtId="0" fontId="0" fillId="4" borderId="19" xfId="0" applyFill="1" applyBorder="1" applyAlignment="1">
      <alignment vertical="center"/>
    </xf>
    <xf numFmtId="0" fontId="0" fillId="4" borderId="44" xfId="0" applyFill="1" applyBorder="1" applyAlignment="1" applyProtection="1">
      <alignment vertical="top" wrapText="1"/>
      <protection/>
    </xf>
    <xf numFmtId="0" fontId="0" fillId="4" borderId="1" xfId="0" applyFill="1" applyBorder="1" applyAlignment="1" applyProtection="1">
      <alignment vertical="center"/>
      <protection/>
    </xf>
    <xf numFmtId="0" fontId="0" fillId="4" borderId="39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0" fillId="4" borderId="47" xfId="0" applyFill="1" applyBorder="1" applyAlignment="1">
      <alignment horizontal="right" vertical="center"/>
    </xf>
    <xf numFmtId="0" fontId="0" fillId="17" borderId="47" xfId="0" applyFill="1" applyBorder="1" applyAlignment="1">
      <alignment horizontal="right" vertical="center"/>
    </xf>
    <xf numFmtId="0" fontId="0" fillId="4" borderId="47" xfId="0" applyFill="1" applyBorder="1" applyAlignment="1">
      <alignment horizontal="left" vertical="center"/>
    </xf>
    <xf numFmtId="0" fontId="0" fillId="4" borderId="53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20" xfId="0" applyFill="1" applyBorder="1" applyAlignment="1" applyProtection="1">
      <alignment vertical="center"/>
      <protection/>
    </xf>
    <xf numFmtId="0" fontId="0" fillId="4" borderId="5" xfId="0" applyFill="1" applyBorder="1" applyAlignment="1" applyProtection="1">
      <alignment vertical="center"/>
      <protection/>
    </xf>
    <xf numFmtId="0" fontId="0" fillId="24" borderId="47" xfId="0" applyFill="1" applyBorder="1" applyAlignment="1">
      <alignment horizontal="right" vertical="center"/>
    </xf>
    <xf numFmtId="0" fontId="0" fillId="4" borderId="49" xfId="0" applyFill="1" applyBorder="1" applyAlignment="1" applyProtection="1">
      <alignment vertical="top" wrapText="1"/>
      <protection/>
    </xf>
    <xf numFmtId="0" fontId="0" fillId="4" borderId="50" xfId="0" applyFill="1" applyBorder="1" applyAlignment="1" applyProtection="1">
      <alignment vertical="center"/>
      <protection/>
    </xf>
    <xf numFmtId="0" fontId="0" fillId="4" borderId="51" xfId="0" applyFill="1" applyBorder="1" applyAlignment="1" applyProtection="1">
      <alignment vertical="center"/>
      <protection/>
    </xf>
    <xf numFmtId="0" fontId="3" fillId="17" borderId="4" xfId="0" applyFont="1" applyFill="1" applyBorder="1" applyAlignment="1" applyProtection="1">
      <alignment vertical="top" wrapText="1"/>
      <protection/>
    </xf>
    <xf numFmtId="0" fontId="3" fillId="17" borderId="1" xfId="0" applyFont="1" applyFill="1" applyBorder="1" applyAlignment="1" applyProtection="1">
      <alignment vertical="top" wrapText="1"/>
      <protection/>
    </xf>
    <xf numFmtId="0" fontId="3" fillId="17" borderId="5" xfId="0" applyFont="1" applyFill="1" applyBorder="1" applyAlignment="1" applyProtection="1">
      <alignment vertical="top" wrapText="1"/>
      <protection/>
    </xf>
    <xf numFmtId="0" fontId="3" fillId="17" borderId="3" xfId="0" applyFont="1" applyFill="1" applyBorder="1" applyAlignment="1" applyProtection="1">
      <alignment vertical="top" wrapText="1"/>
      <protection/>
    </xf>
    <xf numFmtId="0" fontId="0" fillId="18" borderId="52" xfId="0" applyFill="1" applyBorder="1" applyAlignment="1" applyProtection="1">
      <alignment vertical="center"/>
      <protection/>
    </xf>
    <xf numFmtId="0" fontId="0" fillId="12" borderId="10" xfId="0" applyFill="1" applyBorder="1" applyAlignment="1" applyProtection="1">
      <alignment vertical="center"/>
      <protection/>
    </xf>
    <xf numFmtId="0" fontId="0" fillId="12" borderId="18" xfId="0" applyFill="1" applyBorder="1" applyAlignment="1" applyProtection="1">
      <alignment vertical="center"/>
      <protection/>
    </xf>
    <xf numFmtId="0" fontId="0" fillId="22" borderId="18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0" fontId="0" fillId="11" borderId="18" xfId="0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 vertical="center"/>
      <protection/>
    </xf>
    <xf numFmtId="0" fontId="0" fillId="23" borderId="10" xfId="0" applyFill="1" applyBorder="1" applyAlignment="1" applyProtection="1">
      <alignment vertical="center"/>
      <protection/>
    </xf>
    <xf numFmtId="0" fontId="0" fillId="23" borderId="18" xfId="0" applyFill="1" applyBorder="1" applyAlignment="1" applyProtection="1">
      <alignment vertical="center"/>
      <protection/>
    </xf>
    <xf numFmtId="0" fontId="0" fillId="12" borderId="9" xfId="0" applyFill="1" applyBorder="1" applyAlignment="1">
      <alignment horizontal="left" vertical="center"/>
    </xf>
    <xf numFmtId="0" fontId="0" fillId="12" borderId="10" xfId="0" applyFont="1" applyFill="1" applyBorder="1" applyAlignment="1">
      <alignment horizontal="left" vertical="center"/>
    </xf>
    <xf numFmtId="0" fontId="0" fillId="12" borderId="18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0" fontId="0" fillId="12" borderId="21" xfId="0" applyFill="1" applyBorder="1" applyAlignment="1" applyProtection="1">
      <alignment vertical="center"/>
      <protection/>
    </xf>
    <xf numFmtId="0" fontId="0" fillId="12" borderId="10" xfId="0" applyFill="1" applyBorder="1" applyAlignment="1" applyProtection="1">
      <alignment horizontal="right" vertical="center"/>
      <protection/>
    </xf>
    <xf numFmtId="0" fontId="0" fillId="12" borderId="11" xfId="0" applyFill="1" applyBorder="1" applyAlignment="1" applyProtection="1">
      <alignment vertical="center"/>
      <protection/>
    </xf>
    <xf numFmtId="0" fontId="0" fillId="12" borderId="22" xfId="0" applyFill="1" applyBorder="1" applyAlignment="1" applyProtection="1">
      <alignment vertical="center"/>
      <protection/>
    </xf>
    <xf numFmtId="0" fontId="0" fillId="12" borderId="2" xfId="0" applyFill="1" applyBorder="1" applyAlignment="1" applyProtection="1">
      <alignment horizontal="right" vertical="center"/>
      <protection/>
    </xf>
    <xf numFmtId="0" fontId="0" fillId="12" borderId="7" xfId="0" applyFill="1" applyBorder="1" applyAlignment="1" applyProtection="1">
      <alignment vertical="center"/>
      <protection/>
    </xf>
    <xf numFmtId="0" fontId="0" fillId="12" borderId="23" xfId="0" applyFill="1" applyBorder="1" applyAlignment="1" applyProtection="1">
      <alignment vertical="center"/>
      <protection/>
    </xf>
    <xf numFmtId="0" fontId="0" fillId="12" borderId="0" xfId="0" applyFill="1" applyBorder="1" applyAlignment="1" applyProtection="1">
      <alignment horizontal="right" vertical="center"/>
      <protection/>
    </xf>
    <xf numFmtId="0" fontId="0" fillId="12" borderId="8" xfId="0" applyFill="1" applyBorder="1" applyAlignment="1" applyProtection="1">
      <alignment vertical="center"/>
      <protection/>
    </xf>
    <xf numFmtId="0" fontId="0" fillId="12" borderId="25" xfId="0" applyFont="1" applyFill="1" applyBorder="1" applyAlignment="1">
      <alignment vertical="center"/>
    </xf>
    <xf numFmtId="0" fontId="0" fillId="12" borderId="26" xfId="0" applyFill="1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2" borderId="26" xfId="0" applyFill="1" applyBorder="1" applyAlignment="1">
      <alignment horizontal="right" vertical="center"/>
    </xf>
    <xf numFmtId="0" fontId="0" fillId="12" borderId="10" xfId="0" applyFont="1" applyFill="1" applyBorder="1" applyAlignment="1">
      <alignment vertical="center"/>
    </xf>
    <xf numFmtId="0" fontId="0" fillId="12" borderId="7" xfId="0" applyFill="1" applyBorder="1" applyAlignment="1">
      <alignment horizontal="left" vertical="center"/>
    </xf>
    <xf numFmtId="0" fontId="0" fillId="12" borderId="29" xfId="0" applyFill="1" applyBorder="1" applyAlignment="1" applyProtection="1">
      <alignment horizontal="right" vertical="center"/>
      <protection/>
    </xf>
    <xf numFmtId="0" fontId="0" fillId="12" borderId="30" xfId="0" applyFill="1" applyBorder="1" applyAlignment="1" applyProtection="1">
      <alignment vertical="center"/>
      <protection/>
    </xf>
    <xf numFmtId="0" fontId="0" fillId="12" borderId="5" xfId="0" applyFont="1" applyFill="1" applyBorder="1" applyAlignment="1">
      <alignment vertical="center"/>
    </xf>
    <xf numFmtId="0" fontId="0" fillId="12" borderId="2" xfId="0" applyFill="1" applyBorder="1" applyAlignment="1">
      <alignment vertical="center"/>
    </xf>
    <xf numFmtId="0" fontId="0" fillId="12" borderId="25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8" xfId="0" applyFill="1" applyBorder="1" applyAlignment="1" applyProtection="1">
      <alignment horizontal="left" vertical="center"/>
      <protection/>
    </xf>
    <xf numFmtId="0" fontId="3" fillId="12" borderId="3" xfId="0" applyFont="1" applyFill="1" applyBorder="1" applyAlignment="1" applyProtection="1">
      <alignment horizontal="left" vertical="top" wrapText="1"/>
      <protection/>
    </xf>
    <xf numFmtId="0" fontId="0" fillId="12" borderId="22" xfId="0" applyFill="1" applyBorder="1" applyAlignment="1" applyProtection="1">
      <alignment vertical="center"/>
      <protection/>
    </xf>
    <xf numFmtId="0" fontId="0" fillId="12" borderId="23" xfId="0" applyFill="1" applyBorder="1" applyAlignment="1" applyProtection="1">
      <alignment vertical="center"/>
      <protection/>
    </xf>
    <xf numFmtId="0" fontId="0" fillId="12" borderId="1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28" xfId="0" applyFill="1" applyBorder="1" applyAlignment="1" applyProtection="1">
      <alignment vertical="center"/>
      <protection/>
    </xf>
    <xf numFmtId="0" fontId="0" fillId="12" borderId="12" xfId="0" applyFill="1" applyBorder="1" applyAlignment="1">
      <alignment vertical="center"/>
    </xf>
    <xf numFmtId="0" fontId="0" fillId="12" borderId="14" xfId="0" applyFill="1" applyBorder="1" applyAlignment="1">
      <alignment horizontal="center" vertical="center"/>
    </xf>
    <xf numFmtId="0" fontId="0" fillId="12" borderId="6" xfId="0" applyFill="1" applyBorder="1" applyAlignment="1">
      <alignment vertical="center"/>
    </xf>
    <xf numFmtId="0" fontId="0" fillId="12" borderId="9" xfId="0" applyFill="1" applyBorder="1" applyAlignment="1" applyProtection="1">
      <alignment vertical="center"/>
      <protection/>
    </xf>
    <xf numFmtId="0" fontId="0" fillId="12" borderId="20" xfId="0" applyFill="1" applyBorder="1" applyAlignment="1" applyProtection="1">
      <alignment horizontal="left" vertical="top" wrapText="1"/>
      <protection/>
    </xf>
    <xf numFmtId="0" fontId="0" fillId="12" borderId="7" xfId="0" applyFill="1" applyBorder="1" applyAlignment="1" applyProtection="1">
      <alignment horizontal="left" vertical="center"/>
      <protection/>
    </xf>
    <xf numFmtId="0" fontId="0" fillId="12" borderId="53" xfId="0" applyFill="1" applyBorder="1" applyAlignment="1" applyProtection="1">
      <alignment vertical="center"/>
      <protection/>
    </xf>
    <xf numFmtId="0" fontId="0" fillId="12" borderId="3" xfId="0" applyFill="1" applyBorder="1" applyAlignment="1" applyProtection="1">
      <alignment vertical="center"/>
      <protection/>
    </xf>
    <xf numFmtId="0" fontId="0" fillId="12" borderId="3" xfId="0" applyFill="1" applyBorder="1" applyAlignment="1">
      <alignment vertical="center"/>
    </xf>
    <xf numFmtId="0" fontId="0" fillId="12" borderId="2" xfId="0" applyFill="1" applyBorder="1" applyAlignment="1" applyProtection="1">
      <alignment vertical="center"/>
      <protection/>
    </xf>
    <xf numFmtId="0" fontId="0" fillId="12" borderId="37" xfId="0" applyFill="1" applyBorder="1" applyAlignment="1" applyProtection="1">
      <alignment vertical="center"/>
      <protection/>
    </xf>
    <xf numFmtId="0" fontId="0" fillId="12" borderId="34" xfId="0" applyFill="1" applyBorder="1" applyAlignment="1">
      <alignment vertical="center"/>
    </xf>
    <xf numFmtId="0" fontId="0" fillId="12" borderId="29" xfId="0" applyFill="1" applyBorder="1" applyAlignment="1">
      <alignment vertical="center"/>
    </xf>
    <xf numFmtId="0" fontId="0" fillId="12" borderId="29" xfId="0" applyFill="1" applyBorder="1" applyAlignment="1" applyProtection="1">
      <alignment vertical="center"/>
      <protection/>
    </xf>
    <xf numFmtId="0" fontId="0" fillId="12" borderId="43" xfId="0" applyFill="1" applyBorder="1" applyAlignment="1" applyProtection="1">
      <alignment vertical="center"/>
      <protection/>
    </xf>
    <xf numFmtId="0" fontId="0" fillId="12" borderId="33" xfId="0" applyFill="1" applyBorder="1" applyAlignment="1">
      <alignment horizontal="center" vertical="center"/>
    </xf>
    <xf numFmtId="0" fontId="0" fillId="12" borderId="27" xfId="0" applyFill="1" applyBorder="1" applyAlignment="1">
      <alignment vertical="center"/>
    </xf>
    <xf numFmtId="0" fontId="0" fillId="12" borderId="19" xfId="0" applyFill="1" applyBorder="1" applyAlignment="1">
      <alignment horizontal="left" vertical="center"/>
    </xf>
    <xf numFmtId="0" fontId="0" fillId="12" borderId="2" xfId="0" applyFill="1" applyBorder="1" applyAlignment="1">
      <alignment vertical="center"/>
    </xf>
    <xf numFmtId="0" fontId="0" fillId="12" borderId="2" xfId="0" applyFill="1" applyBorder="1" applyAlignment="1">
      <alignment horizontal="right" vertical="center"/>
    </xf>
    <xf numFmtId="0" fontId="0" fillId="12" borderId="18" xfId="0" applyFill="1" applyBorder="1" applyAlignment="1">
      <alignment vertical="center"/>
    </xf>
    <xf numFmtId="0" fontId="0" fillId="12" borderId="3" xfId="0" applyFill="1" applyBorder="1" applyAlignment="1">
      <alignment horizontal="center" vertical="center"/>
    </xf>
    <xf numFmtId="0" fontId="0" fillId="12" borderId="2" xfId="0" applyFill="1" applyBorder="1" applyAlignment="1">
      <alignment horizontal="left" vertical="center"/>
    </xf>
    <xf numFmtId="0" fontId="0" fillId="12" borderId="2" xfId="0" applyFill="1" applyBorder="1" applyAlignment="1" applyProtection="1">
      <alignment horizontal="center" vertical="center"/>
      <protection/>
    </xf>
    <xf numFmtId="0" fontId="0" fillId="12" borderId="37" xfId="0" applyFill="1" applyBorder="1" applyAlignment="1" applyProtection="1">
      <alignment horizontal="center" vertical="center"/>
      <protection/>
    </xf>
    <xf numFmtId="0" fontId="0" fillId="12" borderId="0" xfId="0" applyFill="1" applyBorder="1" applyAlignment="1">
      <alignment vertical="center"/>
    </xf>
    <xf numFmtId="0" fontId="0" fillId="12" borderId="0" xfId="0" applyFill="1" applyBorder="1" applyAlignment="1">
      <alignment horizontal="right" vertical="center"/>
    </xf>
    <xf numFmtId="0" fontId="0" fillId="12" borderId="0" xfId="0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 applyProtection="1">
      <alignment horizontal="center" vertical="center"/>
      <protection/>
    </xf>
    <xf numFmtId="0" fontId="0" fillId="12" borderId="38" xfId="0" applyFill="1" applyBorder="1" applyAlignment="1" applyProtection="1">
      <alignment horizontal="center" vertical="center"/>
      <protection/>
    </xf>
    <xf numFmtId="0" fontId="0" fillId="12" borderId="19" xfId="0" applyFill="1" applyBorder="1" applyAlignment="1">
      <alignment vertical="center"/>
    </xf>
    <xf numFmtId="0" fontId="0" fillId="12" borderId="44" xfId="0" applyFill="1" applyBorder="1" applyAlignment="1" applyProtection="1">
      <alignment vertical="top" wrapText="1"/>
      <protection/>
    </xf>
    <xf numFmtId="0" fontId="0" fillId="12" borderId="1" xfId="0" applyFill="1" applyBorder="1" applyAlignment="1" applyProtection="1">
      <alignment vertical="center"/>
      <protection/>
    </xf>
    <xf numFmtId="0" fontId="0" fillId="12" borderId="26" xfId="0" applyFill="1" applyBorder="1" applyAlignment="1">
      <alignment vertical="center"/>
    </xf>
    <xf numFmtId="0" fontId="0" fillId="12" borderId="45" xfId="0" applyFill="1" applyBorder="1" applyAlignment="1">
      <alignment vertical="center"/>
    </xf>
    <xf numFmtId="0" fontId="0" fillId="12" borderId="47" xfId="0" applyFill="1" applyBorder="1" applyAlignment="1">
      <alignment horizontal="right" vertical="center"/>
    </xf>
    <xf numFmtId="0" fontId="0" fillId="12" borderId="47" xfId="0" applyFill="1" applyBorder="1" applyAlignment="1">
      <alignment horizontal="left" vertical="center"/>
    </xf>
    <xf numFmtId="0" fontId="0" fillId="12" borderId="53" xfId="0" applyFill="1" applyBorder="1" applyAlignment="1" applyProtection="1">
      <alignment vertical="top" wrapText="1"/>
      <protection/>
    </xf>
    <xf numFmtId="0" fontId="0" fillId="12" borderId="0" xfId="0" applyFill="1" applyBorder="1" applyAlignment="1" applyProtection="1">
      <alignment vertical="center"/>
      <protection/>
    </xf>
    <xf numFmtId="0" fontId="0" fillId="12" borderId="31" xfId="0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0" fillId="12" borderId="32" xfId="0" applyFill="1" applyBorder="1" applyAlignment="1">
      <alignment horizontal="left" vertical="center"/>
    </xf>
    <xf numFmtId="0" fontId="0" fillId="12" borderId="8" xfId="0" applyFill="1" applyBorder="1" applyAlignment="1">
      <alignment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 applyProtection="1">
      <alignment vertical="center"/>
      <protection/>
    </xf>
    <xf numFmtId="0" fontId="0" fillId="12" borderId="5" xfId="0" applyFill="1" applyBorder="1" applyAlignment="1" applyProtection="1">
      <alignment vertical="center"/>
      <protection/>
    </xf>
    <xf numFmtId="0" fontId="0" fillId="12" borderId="34" xfId="0" applyFill="1" applyBorder="1" applyAlignment="1">
      <alignment horizontal="center" vertical="center"/>
    </xf>
    <xf numFmtId="0" fontId="0" fillId="12" borderId="29" xfId="0" applyFill="1" applyBorder="1" applyAlignment="1">
      <alignment vertical="center"/>
    </xf>
    <xf numFmtId="0" fontId="0" fillId="12" borderId="29" xfId="0" applyFill="1" applyBorder="1" applyAlignment="1">
      <alignment horizontal="right" vertical="center"/>
    </xf>
    <xf numFmtId="0" fontId="0" fillId="12" borderId="29" xfId="0" applyFill="1" applyBorder="1" applyAlignment="1">
      <alignment horizontal="left" vertical="center"/>
    </xf>
    <xf numFmtId="0" fontId="0" fillId="12" borderId="29" xfId="0" applyFill="1" applyBorder="1" applyAlignment="1" applyProtection="1">
      <alignment horizontal="center" vertical="center"/>
      <protection/>
    </xf>
    <xf numFmtId="0" fontId="0" fillId="12" borderId="43" xfId="0" applyFill="1" applyBorder="1" applyAlignment="1" applyProtection="1">
      <alignment horizontal="center" vertical="center"/>
      <protection/>
    </xf>
    <xf numFmtId="0" fontId="0" fillId="12" borderId="49" xfId="0" applyFill="1" applyBorder="1" applyAlignment="1" applyProtection="1">
      <alignment vertical="top" wrapText="1"/>
      <protection/>
    </xf>
    <xf numFmtId="0" fontId="0" fillId="12" borderId="50" xfId="0" applyFill="1" applyBorder="1" applyAlignment="1" applyProtection="1">
      <alignment vertical="center"/>
      <protection/>
    </xf>
    <xf numFmtId="0" fontId="0" fillId="12" borderId="51" xfId="0" applyFill="1" applyBorder="1" applyAlignment="1" applyProtection="1">
      <alignment vertical="center"/>
      <protection/>
    </xf>
    <xf numFmtId="0" fontId="0" fillId="12" borderId="54" xfId="0" applyFill="1" applyBorder="1" applyAlignment="1">
      <alignment horizontal="center" vertical="center"/>
    </xf>
    <xf numFmtId="0" fontId="0" fillId="12" borderId="40" xfId="0" applyFill="1" applyBorder="1" applyAlignment="1">
      <alignment vertical="center"/>
    </xf>
    <xf numFmtId="0" fontId="0" fillId="12" borderId="41" xfId="0" applyFill="1" applyBorder="1" applyAlignment="1">
      <alignment horizontal="left" vertical="center"/>
    </xf>
    <xf numFmtId="0" fontId="0" fillId="12" borderId="42" xfId="0" applyFill="1" applyBorder="1" applyAlignment="1">
      <alignment vertical="center"/>
    </xf>
    <xf numFmtId="0" fontId="0" fillId="18" borderId="1" xfId="0" applyFill="1" applyBorder="1" applyAlignment="1" applyProtection="1">
      <alignment vertical="center"/>
      <protection/>
    </xf>
    <xf numFmtId="0" fontId="0" fillId="10" borderId="10" xfId="0" applyFill="1" applyBorder="1" applyAlignment="1" applyProtection="1">
      <alignment vertical="center"/>
      <protection/>
    </xf>
    <xf numFmtId="0" fontId="0" fillId="10" borderId="18" xfId="0" applyFill="1" applyBorder="1" applyAlignment="1" applyProtection="1">
      <alignment vertical="center"/>
      <protection/>
    </xf>
    <xf numFmtId="0" fontId="0" fillId="12" borderId="10" xfId="0" applyFill="1" applyBorder="1" applyAlignment="1">
      <alignment horizontal="left" vertical="center"/>
    </xf>
    <xf numFmtId="0" fontId="0" fillId="12" borderId="7" xfId="0" applyFill="1" applyBorder="1" applyAlignment="1">
      <alignment vertical="center"/>
    </xf>
    <xf numFmtId="0" fontId="0" fillId="11" borderId="10" xfId="0" applyFont="1" applyFill="1" applyBorder="1" applyAlignment="1">
      <alignment horizontal="left" vertical="center"/>
    </xf>
    <xf numFmtId="0" fontId="0" fillId="11" borderId="18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1" xfId="0" applyFill="1" applyBorder="1" applyAlignment="1">
      <alignment horizontal="left" vertical="center"/>
    </xf>
    <xf numFmtId="0" fontId="0" fillId="11" borderId="21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horizontal="right" vertical="center"/>
      <protection/>
    </xf>
    <xf numFmtId="0" fontId="0" fillId="11" borderId="11" xfId="0" applyFill="1" applyBorder="1" applyAlignment="1" applyProtection="1">
      <alignment vertical="center"/>
      <protection/>
    </xf>
    <xf numFmtId="0" fontId="0" fillId="11" borderId="22" xfId="0" applyFill="1" applyBorder="1" applyAlignment="1" applyProtection="1">
      <alignment vertical="center"/>
      <protection/>
    </xf>
    <xf numFmtId="0" fontId="0" fillId="11" borderId="2" xfId="0" applyFill="1" applyBorder="1" applyAlignment="1" applyProtection="1">
      <alignment horizontal="right" vertical="center"/>
      <protection/>
    </xf>
    <xf numFmtId="0" fontId="0" fillId="11" borderId="7" xfId="0" applyFill="1" applyBorder="1" applyAlignment="1" applyProtection="1">
      <alignment vertical="center"/>
      <protection/>
    </xf>
    <xf numFmtId="0" fontId="0" fillId="11" borderId="23" xfId="0" applyFill="1" applyBorder="1" applyAlignment="1" applyProtection="1">
      <alignment vertical="center"/>
      <protection/>
    </xf>
    <xf numFmtId="0" fontId="0" fillId="11" borderId="0" xfId="0" applyFill="1" applyBorder="1" applyAlignment="1" applyProtection="1">
      <alignment horizontal="right" vertical="center"/>
      <protection/>
    </xf>
    <xf numFmtId="0" fontId="0" fillId="11" borderId="8" xfId="0" applyFill="1" applyBorder="1" applyAlignment="1" applyProtection="1">
      <alignment vertical="center"/>
      <protection/>
    </xf>
    <xf numFmtId="0" fontId="0" fillId="11" borderId="25" xfId="0" applyFont="1" applyFill="1" applyBorder="1" applyAlignment="1">
      <alignment vertical="center"/>
    </xf>
    <xf numFmtId="0" fontId="0" fillId="11" borderId="26" xfId="0" applyFill="1" applyBorder="1" applyAlignment="1">
      <alignment vertical="center"/>
    </xf>
    <xf numFmtId="0" fontId="0" fillId="11" borderId="27" xfId="0" applyFill="1" applyBorder="1" applyAlignment="1">
      <alignment horizontal="left" vertical="center"/>
    </xf>
    <xf numFmtId="0" fontId="0" fillId="11" borderId="10" xfId="0" applyFont="1" applyFill="1" applyBorder="1" applyAlignment="1">
      <alignment vertical="center"/>
    </xf>
    <xf numFmtId="0" fontId="0" fillId="11" borderId="9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1" borderId="28" xfId="0" applyFill="1" applyBorder="1" applyAlignment="1" applyProtection="1">
      <alignment vertical="center"/>
      <protection/>
    </xf>
    <xf numFmtId="0" fontId="0" fillId="11" borderId="29" xfId="0" applyFill="1" applyBorder="1" applyAlignment="1" applyProtection="1">
      <alignment horizontal="right" vertical="center"/>
      <protection/>
    </xf>
    <xf numFmtId="0" fontId="0" fillId="11" borderId="30" xfId="0" applyFill="1" applyBorder="1" applyAlignment="1" applyProtection="1">
      <alignment vertical="center"/>
      <protection/>
    </xf>
    <xf numFmtId="0" fontId="0" fillId="11" borderId="5" xfId="0" applyFont="1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0" fillId="11" borderId="25" xfId="0" applyFill="1" applyBorder="1" applyAlignment="1">
      <alignment horizontal="left" vertical="center"/>
    </xf>
    <xf numFmtId="0" fontId="0" fillId="11" borderId="4" xfId="0" applyFill="1" applyBorder="1" applyAlignment="1">
      <alignment horizontal="left" vertical="center"/>
    </xf>
    <xf numFmtId="0" fontId="0" fillId="11" borderId="8" xfId="0" applyFill="1" applyBorder="1" applyAlignment="1" applyProtection="1">
      <alignment horizontal="left" vertical="center"/>
      <protection/>
    </xf>
    <xf numFmtId="0" fontId="0" fillId="11" borderId="22" xfId="0" applyFill="1" applyBorder="1" applyAlignment="1" applyProtection="1">
      <alignment vertical="center"/>
      <protection/>
    </xf>
    <xf numFmtId="0" fontId="0" fillId="11" borderId="23" xfId="0" applyFill="1" applyBorder="1" applyAlignment="1" applyProtection="1">
      <alignment vertical="center"/>
      <protection/>
    </xf>
    <xf numFmtId="0" fontId="0" fillId="11" borderId="10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11" borderId="32" xfId="0" applyFill="1" applyBorder="1" applyAlignment="1">
      <alignment horizontal="left" vertical="center"/>
    </xf>
    <xf numFmtId="0" fontId="0" fillId="11" borderId="28" xfId="0" applyFill="1" applyBorder="1" applyAlignment="1" applyProtection="1">
      <alignment vertical="center"/>
      <protection/>
    </xf>
    <xf numFmtId="0" fontId="0" fillId="11" borderId="8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0" xfId="0" applyFill="1" applyBorder="1" applyAlignment="1">
      <alignment horizontal="right" vertical="center"/>
    </xf>
    <xf numFmtId="0" fontId="0" fillId="11" borderId="8" xfId="0" applyFill="1" applyBorder="1" applyAlignment="1">
      <alignment horizontal="left" vertical="center"/>
    </xf>
    <xf numFmtId="0" fontId="0" fillId="11" borderId="7" xfId="0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0" fillId="11" borderId="2" xfId="0" applyFill="1" applyBorder="1" applyAlignment="1">
      <alignment horizontal="right" vertical="center"/>
    </xf>
    <xf numFmtId="0" fontId="0" fillId="11" borderId="9" xfId="0" applyFill="1" applyBorder="1" applyAlignment="1" applyProtection="1">
      <alignment vertical="center"/>
      <protection/>
    </xf>
    <xf numFmtId="0" fontId="0" fillId="11" borderId="20" xfId="0" applyFill="1" applyBorder="1" applyAlignment="1" applyProtection="1">
      <alignment horizontal="left" vertical="top" wrapText="1"/>
      <protection/>
    </xf>
    <xf numFmtId="0" fontId="0" fillId="11" borderId="7" xfId="0" applyFill="1" applyBorder="1" applyAlignment="1" applyProtection="1">
      <alignment horizontal="left" vertical="center"/>
      <protection/>
    </xf>
    <xf numFmtId="0" fontId="0" fillId="11" borderId="53" xfId="0" applyFill="1" applyBorder="1" applyAlignment="1" applyProtection="1">
      <alignment vertical="center"/>
      <protection/>
    </xf>
    <xf numFmtId="0" fontId="0" fillId="11" borderId="3" xfId="0" applyFill="1" applyBorder="1" applyAlignment="1" applyProtection="1">
      <alignment vertical="center"/>
      <protection/>
    </xf>
    <xf numFmtId="0" fontId="0" fillId="11" borderId="2" xfId="0" applyFill="1" applyBorder="1" applyAlignment="1" applyProtection="1">
      <alignment vertical="center"/>
      <protection/>
    </xf>
    <xf numFmtId="0" fontId="0" fillId="11" borderId="37" xfId="0" applyFill="1" applyBorder="1" applyAlignment="1" applyProtection="1">
      <alignment vertical="center"/>
      <protection/>
    </xf>
    <xf numFmtId="0" fontId="0" fillId="11" borderId="29" xfId="0" applyFill="1" applyBorder="1" applyAlignment="1">
      <alignment vertical="center"/>
    </xf>
    <xf numFmtId="0" fontId="0" fillId="11" borderId="29" xfId="0" applyFill="1" applyBorder="1" applyAlignment="1" applyProtection="1">
      <alignment vertical="center"/>
      <protection/>
    </xf>
    <xf numFmtId="0" fontId="0" fillId="11" borderId="43" xfId="0" applyFill="1" applyBorder="1" applyAlignment="1" applyProtection="1">
      <alignment vertical="center"/>
      <protection/>
    </xf>
    <xf numFmtId="0" fontId="0" fillId="11" borderId="27" xfId="0" applyFill="1" applyBorder="1" applyAlignment="1">
      <alignment vertical="center"/>
    </xf>
    <xf numFmtId="0" fontId="0" fillId="11" borderId="19" xfId="0" applyFill="1" applyBorder="1" applyAlignment="1">
      <alignment horizontal="left" vertical="center"/>
    </xf>
    <xf numFmtId="0" fontId="0" fillId="11" borderId="6" xfId="0" applyFill="1" applyBorder="1" applyAlignment="1">
      <alignment vertical="center"/>
    </xf>
    <xf numFmtId="0" fontId="0" fillId="11" borderId="3" xfId="0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/>
    </xf>
    <xf numFmtId="0" fontId="0" fillId="11" borderId="2" xfId="0" applyFill="1" applyBorder="1" applyAlignment="1" applyProtection="1">
      <alignment horizontal="center" vertical="center"/>
      <protection/>
    </xf>
    <xf numFmtId="0" fontId="0" fillId="11" borderId="37" xfId="0" applyFill="1" applyBorder="1" applyAlignment="1" applyProtection="1">
      <alignment horizontal="center" vertical="center"/>
      <protection/>
    </xf>
    <xf numFmtId="0" fontId="0" fillId="11" borderId="0" xfId="0" applyFill="1" applyBorder="1" applyAlignment="1">
      <alignment horizontal="left" vertical="center"/>
    </xf>
    <xf numFmtId="0" fontId="0" fillId="11" borderId="0" xfId="0" applyFill="1" applyBorder="1" applyAlignment="1" applyProtection="1">
      <alignment horizontal="center" vertical="center"/>
      <protection/>
    </xf>
    <xf numFmtId="0" fontId="0" fillId="11" borderId="38" xfId="0" applyFill="1" applyBorder="1" applyAlignment="1" applyProtection="1">
      <alignment horizontal="center" vertical="center"/>
      <protection/>
    </xf>
    <xf numFmtId="0" fontId="0" fillId="11" borderId="19" xfId="0" applyFill="1" applyBorder="1" applyAlignment="1">
      <alignment vertical="center"/>
    </xf>
    <xf numFmtId="0" fontId="0" fillId="11" borderId="44" xfId="0" applyFill="1" applyBorder="1" applyAlignment="1" applyProtection="1">
      <alignment vertical="top" wrapText="1"/>
      <protection/>
    </xf>
    <xf numFmtId="0" fontId="0" fillId="11" borderId="1" xfId="0" applyFill="1" applyBorder="1" applyAlignment="1" applyProtection="1">
      <alignment vertical="center"/>
      <protection/>
    </xf>
    <xf numFmtId="0" fontId="3" fillId="11" borderId="39" xfId="0" applyFont="1" applyFill="1" applyBorder="1" applyAlignment="1" applyProtection="1">
      <alignment horizontal="left" vertical="top" wrapText="1"/>
      <protection/>
    </xf>
    <xf numFmtId="0" fontId="0" fillId="11" borderId="45" xfId="0" applyFill="1" applyBorder="1" applyAlignment="1">
      <alignment vertical="center"/>
    </xf>
    <xf numFmtId="0" fontId="0" fillId="11" borderId="47" xfId="0" applyFill="1" applyBorder="1" applyAlignment="1">
      <alignment horizontal="right" vertical="center"/>
    </xf>
    <xf numFmtId="0" fontId="0" fillId="11" borderId="47" xfId="0" applyFill="1" applyBorder="1" applyAlignment="1">
      <alignment horizontal="left" vertical="center"/>
    </xf>
    <xf numFmtId="0" fontId="0" fillId="11" borderId="53" xfId="0" applyFill="1" applyBorder="1" applyAlignment="1" applyProtection="1">
      <alignment vertical="top" wrapText="1"/>
      <protection/>
    </xf>
    <xf numFmtId="0" fontId="0" fillId="11" borderId="0" xfId="0" applyFill="1" applyBorder="1" applyAlignment="1" applyProtection="1">
      <alignment vertical="center"/>
      <protection/>
    </xf>
    <xf numFmtId="0" fontId="0" fillId="11" borderId="20" xfId="0" applyFill="1" applyBorder="1" applyAlignment="1" applyProtection="1">
      <alignment vertical="center"/>
      <protection/>
    </xf>
    <xf numFmtId="0" fontId="0" fillId="11" borderId="5" xfId="0" applyFill="1" applyBorder="1" applyAlignment="1" applyProtection="1">
      <alignment vertical="center"/>
      <protection/>
    </xf>
    <xf numFmtId="0" fontId="0" fillId="11" borderId="34" xfId="0" applyFill="1" applyBorder="1" applyAlignment="1">
      <alignment horizontal="center" vertical="center"/>
    </xf>
    <xf numFmtId="0" fontId="0" fillId="11" borderId="29" xfId="0" applyFill="1" applyBorder="1" applyAlignment="1">
      <alignment vertical="center"/>
    </xf>
    <xf numFmtId="0" fontId="0" fillId="11" borderId="29" xfId="0" applyFill="1" applyBorder="1" applyAlignment="1">
      <alignment horizontal="right" vertical="center"/>
    </xf>
    <xf numFmtId="0" fontId="0" fillId="11" borderId="29" xfId="0" applyFill="1" applyBorder="1" applyAlignment="1">
      <alignment horizontal="left" vertical="center"/>
    </xf>
    <xf numFmtId="0" fontId="0" fillId="11" borderId="29" xfId="0" applyFill="1" applyBorder="1" applyAlignment="1" applyProtection="1">
      <alignment horizontal="center" vertical="center"/>
      <protection/>
    </xf>
    <xf numFmtId="0" fontId="0" fillId="11" borderId="43" xfId="0" applyFill="1" applyBorder="1" applyAlignment="1" applyProtection="1">
      <alignment horizontal="center" vertical="center"/>
      <protection/>
    </xf>
    <xf numFmtId="0" fontId="0" fillId="11" borderId="49" xfId="0" applyFill="1" applyBorder="1" applyAlignment="1" applyProtection="1">
      <alignment vertical="top" wrapText="1"/>
      <protection/>
    </xf>
    <xf numFmtId="0" fontId="0" fillId="11" borderId="50" xfId="0" applyFill="1" applyBorder="1" applyAlignment="1" applyProtection="1">
      <alignment vertical="center"/>
      <protection/>
    </xf>
    <xf numFmtId="0" fontId="0" fillId="11" borderId="51" xfId="0" applyFill="1" applyBorder="1" applyAlignment="1" applyProtection="1">
      <alignment vertical="center"/>
      <protection/>
    </xf>
    <xf numFmtId="0" fontId="0" fillId="11" borderId="41" xfId="0" applyFill="1" applyBorder="1" applyAlignment="1">
      <alignment horizontal="left" vertical="center"/>
    </xf>
    <xf numFmtId="0" fontId="0" fillId="11" borderId="42" xfId="0" applyFill="1" applyBorder="1" applyAlignment="1">
      <alignment vertical="center"/>
    </xf>
    <xf numFmtId="0" fontId="0" fillId="11" borderId="10" xfId="0" applyFill="1" applyBorder="1" applyAlignment="1">
      <alignment horizontal="left" vertical="center"/>
    </xf>
    <xf numFmtId="0" fontId="0" fillId="2" borderId="54" xfId="0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/>
    </xf>
    <xf numFmtId="0" fontId="0" fillId="11" borderId="55" xfId="0" applyFill="1" applyBorder="1" applyAlignment="1">
      <alignment horizontal="center" vertical="center"/>
    </xf>
    <xf numFmtId="0" fontId="0" fillId="12" borderId="55" xfId="0" applyFill="1" applyBorder="1" applyAlignment="1">
      <alignment horizontal="center" vertical="center"/>
    </xf>
    <xf numFmtId="0" fontId="0" fillId="4" borderId="3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54" xfId="0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0" fillId="12" borderId="14" xfId="0" applyFill="1" applyBorder="1" applyAlignment="1">
      <alignment vertical="center"/>
    </xf>
    <xf numFmtId="0" fontId="0" fillId="12" borderId="33" xfId="0" applyFill="1" applyBorder="1" applyAlignment="1">
      <alignment vertical="center"/>
    </xf>
    <xf numFmtId="0" fontId="0" fillId="12" borderId="55" xfId="0" applyFill="1" applyBorder="1" applyAlignment="1">
      <alignment vertical="center"/>
    </xf>
    <xf numFmtId="0" fontId="0" fillId="12" borderId="54" xfId="0" applyFill="1" applyBorder="1" applyAlignment="1">
      <alignment vertical="center"/>
    </xf>
    <xf numFmtId="0" fontId="0" fillId="11" borderId="55" xfId="0" applyFill="1" applyBorder="1" applyAlignment="1">
      <alignment vertical="center"/>
    </xf>
    <xf numFmtId="0" fontId="0" fillId="11" borderId="40" xfId="0" applyFill="1" applyBorder="1" applyAlignment="1">
      <alignment horizontal="center" vertical="center"/>
    </xf>
    <xf numFmtId="0" fontId="0" fillId="20" borderId="10" xfId="0" applyFill="1" applyBorder="1" applyAlignment="1">
      <alignment horizontal="right" vertical="center"/>
    </xf>
    <xf numFmtId="0" fontId="0" fillId="20" borderId="9" xfId="0" applyFill="1" applyBorder="1" applyAlignment="1">
      <alignment horizontal="left" vertical="center"/>
    </xf>
    <xf numFmtId="0" fontId="0" fillId="20" borderId="10" xfId="0" applyFont="1" applyFill="1" applyBorder="1" applyAlignment="1">
      <alignment horizontal="left" vertical="center"/>
    </xf>
    <xf numFmtId="0" fontId="0" fillId="20" borderId="18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ill="1" applyBorder="1" applyAlignment="1">
      <alignment horizontal="left" vertical="center"/>
    </xf>
    <xf numFmtId="0" fontId="0" fillId="20" borderId="21" xfId="0" applyFill="1" applyBorder="1" applyAlignment="1" applyProtection="1">
      <alignment vertical="center"/>
      <protection/>
    </xf>
    <xf numFmtId="0" fontId="0" fillId="20" borderId="10" xfId="0" applyFill="1" applyBorder="1" applyAlignment="1" applyProtection="1">
      <alignment horizontal="right" vertical="center"/>
      <protection/>
    </xf>
    <xf numFmtId="0" fontId="0" fillId="20" borderId="11" xfId="0" applyFill="1" applyBorder="1" applyAlignment="1" applyProtection="1">
      <alignment vertical="center"/>
      <protection/>
    </xf>
    <xf numFmtId="0" fontId="0" fillId="20" borderId="22" xfId="0" applyFill="1" applyBorder="1" applyAlignment="1" applyProtection="1">
      <alignment vertical="center"/>
      <protection/>
    </xf>
    <xf numFmtId="0" fontId="0" fillId="20" borderId="2" xfId="0" applyFill="1" applyBorder="1" applyAlignment="1" applyProtection="1">
      <alignment horizontal="right" vertical="center"/>
      <protection/>
    </xf>
    <xf numFmtId="0" fontId="0" fillId="20" borderId="7" xfId="0" applyFill="1" applyBorder="1" applyAlignment="1" applyProtection="1">
      <alignment vertical="center"/>
      <protection/>
    </xf>
    <xf numFmtId="0" fontId="0" fillId="20" borderId="23" xfId="0" applyFill="1" applyBorder="1" applyAlignment="1" applyProtection="1">
      <alignment vertical="center"/>
      <protection/>
    </xf>
    <xf numFmtId="0" fontId="0" fillId="20" borderId="0" xfId="0" applyFill="1" applyBorder="1" applyAlignment="1" applyProtection="1">
      <alignment horizontal="right" vertical="center"/>
      <protection/>
    </xf>
    <xf numFmtId="0" fontId="0" fillId="20" borderId="8" xfId="0" applyFill="1" applyBorder="1" applyAlignment="1" applyProtection="1">
      <alignment vertical="center"/>
      <protection/>
    </xf>
    <xf numFmtId="0" fontId="0" fillId="20" borderId="25" xfId="0" applyFont="1" applyFill="1" applyBorder="1" applyAlignment="1">
      <alignment vertical="center"/>
    </xf>
    <xf numFmtId="0" fontId="0" fillId="20" borderId="26" xfId="0" applyFill="1" applyBorder="1" applyAlignment="1">
      <alignment vertical="center"/>
    </xf>
    <xf numFmtId="0" fontId="0" fillId="20" borderId="27" xfId="0" applyFill="1" applyBorder="1" applyAlignment="1">
      <alignment horizontal="left" vertical="center"/>
    </xf>
    <xf numFmtId="0" fontId="0" fillId="20" borderId="10" xfId="0" applyFont="1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0" fillId="20" borderId="7" xfId="0" applyFill="1" applyBorder="1" applyAlignment="1">
      <alignment horizontal="left" vertical="center"/>
    </xf>
    <xf numFmtId="0" fontId="0" fillId="20" borderId="28" xfId="0" applyFill="1" applyBorder="1" applyAlignment="1" applyProtection="1">
      <alignment vertical="center"/>
      <protection/>
    </xf>
    <xf numFmtId="0" fontId="0" fillId="20" borderId="29" xfId="0" applyFill="1" applyBorder="1" applyAlignment="1" applyProtection="1">
      <alignment horizontal="right" vertical="center"/>
      <protection/>
    </xf>
    <xf numFmtId="0" fontId="0" fillId="20" borderId="30" xfId="0" applyFill="1" applyBorder="1" applyAlignment="1" applyProtection="1">
      <alignment vertical="center"/>
      <protection/>
    </xf>
    <xf numFmtId="0" fontId="0" fillId="20" borderId="5" xfId="0" applyFont="1" applyFill="1" applyBorder="1" applyAlignment="1">
      <alignment vertical="center"/>
    </xf>
    <xf numFmtId="0" fontId="0" fillId="20" borderId="2" xfId="0" applyFill="1" applyBorder="1" applyAlignment="1">
      <alignment vertical="center"/>
    </xf>
    <xf numFmtId="0" fontId="0" fillId="20" borderId="25" xfId="0" applyFill="1" applyBorder="1" applyAlignment="1">
      <alignment horizontal="left" vertical="center"/>
    </xf>
    <xf numFmtId="0" fontId="0" fillId="20" borderId="4" xfId="0" applyFill="1" applyBorder="1" applyAlignment="1">
      <alignment horizontal="left" vertical="center"/>
    </xf>
    <xf numFmtId="0" fontId="0" fillId="20" borderId="8" xfId="0" applyFill="1" applyBorder="1" applyAlignment="1" applyProtection="1">
      <alignment horizontal="left" vertical="center"/>
      <protection/>
    </xf>
    <xf numFmtId="0" fontId="0" fillId="20" borderId="22" xfId="0" applyFill="1" applyBorder="1" applyAlignment="1" applyProtection="1">
      <alignment vertical="center"/>
      <protection/>
    </xf>
    <xf numFmtId="0" fontId="0" fillId="20" borderId="23" xfId="0" applyFill="1" applyBorder="1" applyAlignment="1" applyProtection="1">
      <alignment vertical="center"/>
      <protection/>
    </xf>
    <xf numFmtId="0" fontId="0" fillId="20" borderId="10" xfId="0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0" fillId="20" borderId="7" xfId="0" applyFill="1" applyBorder="1" applyAlignment="1">
      <alignment vertical="center"/>
    </xf>
    <xf numFmtId="0" fontId="0" fillId="20" borderId="28" xfId="0" applyFill="1" applyBorder="1" applyAlignment="1" applyProtection="1">
      <alignment vertical="center"/>
      <protection/>
    </xf>
    <xf numFmtId="0" fontId="0" fillId="20" borderId="12" xfId="0" applyFill="1" applyBorder="1" applyAlignment="1">
      <alignment vertical="center"/>
    </xf>
    <xf numFmtId="0" fontId="0" fillId="20" borderId="14" xfId="0" applyFill="1" applyBorder="1" applyAlignment="1">
      <alignment vertical="center"/>
    </xf>
    <xf numFmtId="0" fontId="0" fillId="20" borderId="14" xfId="0" applyFill="1" applyBorder="1" applyAlignment="1">
      <alignment horizontal="center" vertical="center"/>
    </xf>
    <xf numFmtId="0" fontId="0" fillId="20" borderId="6" xfId="0" applyFill="1" applyBorder="1" applyAlignment="1">
      <alignment vertical="center"/>
    </xf>
    <xf numFmtId="0" fontId="0" fillId="20" borderId="9" xfId="0" applyFill="1" applyBorder="1" applyAlignment="1" applyProtection="1">
      <alignment vertical="center"/>
      <protection/>
    </xf>
    <xf numFmtId="0" fontId="0" fillId="20" borderId="20" xfId="0" applyFill="1" applyBorder="1" applyAlignment="1" applyProtection="1">
      <alignment horizontal="left" vertical="top" wrapText="1"/>
      <protection/>
    </xf>
    <xf numFmtId="0" fontId="0" fillId="20" borderId="7" xfId="0" applyFill="1" applyBorder="1" applyAlignment="1" applyProtection="1">
      <alignment horizontal="left" vertical="center"/>
      <protection/>
    </xf>
    <xf numFmtId="0" fontId="0" fillId="20" borderId="53" xfId="0" applyFill="1" applyBorder="1" applyAlignment="1" applyProtection="1">
      <alignment vertical="center"/>
      <protection/>
    </xf>
    <xf numFmtId="0" fontId="0" fillId="20" borderId="3" xfId="0" applyFill="1" applyBorder="1" applyAlignment="1" applyProtection="1">
      <alignment vertical="center"/>
      <protection/>
    </xf>
    <xf numFmtId="0" fontId="0" fillId="20" borderId="3" xfId="0" applyFill="1" applyBorder="1" applyAlignment="1">
      <alignment vertical="center"/>
    </xf>
    <xf numFmtId="0" fontId="0" fillId="20" borderId="2" xfId="0" applyFill="1" applyBorder="1" applyAlignment="1" applyProtection="1">
      <alignment vertical="center"/>
      <protection/>
    </xf>
    <xf numFmtId="0" fontId="0" fillId="20" borderId="37" xfId="0" applyFill="1" applyBorder="1" applyAlignment="1" applyProtection="1">
      <alignment vertical="center"/>
      <protection/>
    </xf>
    <xf numFmtId="0" fontId="0" fillId="20" borderId="34" xfId="0" applyFill="1" applyBorder="1" applyAlignment="1">
      <alignment vertical="center"/>
    </xf>
    <xf numFmtId="0" fontId="0" fillId="20" borderId="29" xfId="0" applyFill="1" applyBorder="1" applyAlignment="1">
      <alignment vertical="center"/>
    </xf>
    <xf numFmtId="0" fontId="0" fillId="20" borderId="29" xfId="0" applyFill="1" applyBorder="1" applyAlignment="1" applyProtection="1">
      <alignment vertical="center"/>
      <protection/>
    </xf>
    <xf numFmtId="0" fontId="0" fillId="20" borderId="43" xfId="0" applyFill="1" applyBorder="1" applyAlignment="1" applyProtection="1">
      <alignment vertical="center"/>
      <protection/>
    </xf>
    <xf numFmtId="0" fontId="0" fillId="20" borderId="33" xfId="0" applyFill="1" applyBorder="1" applyAlignment="1">
      <alignment vertical="center"/>
    </xf>
    <xf numFmtId="0" fontId="0" fillId="20" borderId="27" xfId="0" applyFill="1" applyBorder="1" applyAlignment="1">
      <alignment vertical="center"/>
    </xf>
    <xf numFmtId="0" fontId="0" fillId="20" borderId="19" xfId="0" applyFill="1" applyBorder="1" applyAlignment="1">
      <alignment horizontal="left" vertical="center"/>
    </xf>
    <xf numFmtId="0" fontId="0" fillId="20" borderId="2" xfId="0" applyFill="1" applyBorder="1" applyAlignment="1">
      <alignment vertical="center"/>
    </xf>
    <xf numFmtId="0" fontId="0" fillId="20" borderId="2" xfId="0" applyFill="1" applyBorder="1" applyAlignment="1">
      <alignment horizontal="right" vertical="center"/>
    </xf>
    <xf numFmtId="0" fontId="0" fillId="20" borderId="3" xfId="0" applyFill="1" applyBorder="1" applyAlignment="1">
      <alignment horizontal="center" vertical="center"/>
    </xf>
    <xf numFmtId="0" fontId="0" fillId="20" borderId="2" xfId="0" applyFill="1" applyBorder="1" applyAlignment="1">
      <alignment horizontal="left" vertical="center"/>
    </xf>
    <xf numFmtId="0" fontId="0" fillId="20" borderId="2" xfId="0" applyFill="1" applyBorder="1" applyAlignment="1" applyProtection="1">
      <alignment horizontal="center" vertical="center"/>
      <protection/>
    </xf>
    <xf numFmtId="0" fontId="0" fillId="20" borderId="37" xfId="0" applyFill="1" applyBorder="1" applyAlignment="1" applyProtection="1">
      <alignment horizontal="center" vertical="center"/>
      <protection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right" vertical="center"/>
    </xf>
    <xf numFmtId="0" fontId="0" fillId="20" borderId="0" xfId="0" applyFill="1" applyBorder="1" applyAlignment="1">
      <alignment horizontal="left" vertical="center"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Border="1" applyAlignment="1" applyProtection="1">
      <alignment horizontal="center" vertical="center"/>
      <protection/>
    </xf>
    <xf numFmtId="0" fontId="0" fillId="20" borderId="38" xfId="0" applyFill="1" applyBorder="1" applyAlignment="1" applyProtection="1">
      <alignment horizontal="center" vertical="center"/>
      <protection/>
    </xf>
    <xf numFmtId="0" fontId="0" fillId="20" borderId="19" xfId="0" applyFill="1" applyBorder="1" applyAlignment="1">
      <alignment vertical="center"/>
    </xf>
    <xf numFmtId="0" fontId="0" fillId="20" borderId="44" xfId="0" applyFill="1" applyBorder="1" applyAlignment="1" applyProtection="1">
      <alignment vertical="top" wrapText="1"/>
      <protection/>
    </xf>
    <xf numFmtId="0" fontId="0" fillId="20" borderId="1" xfId="0" applyFill="1" applyBorder="1" applyAlignment="1" applyProtection="1">
      <alignment vertical="center"/>
      <protection/>
    </xf>
    <xf numFmtId="0" fontId="0" fillId="20" borderId="54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20" borderId="55" xfId="0" applyFill="1" applyBorder="1" applyAlignment="1">
      <alignment vertical="center"/>
    </xf>
    <xf numFmtId="0" fontId="0" fillId="20" borderId="45" xfId="0" applyFill="1" applyBorder="1" applyAlignment="1">
      <alignment vertical="center"/>
    </xf>
    <xf numFmtId="0" fontId="0" fillId="20" borderId="47" xfId="0" applyFill="1" applyBorder="1" applyAlignment="1">
      <alignment horizontal="right" vertical="center"/>
    </xf>
    <xf numFmtId="0" fontId="0" fillId="20" borderId="47" xfId="0" applyFill="1" applyBorder="1" applyAlignment="1">
      <alignment horizontal="left" vertical="center"/>
    </xf>
    <xf numFmtId="0" fontId="0" fillId="20" borderId="53" xfId="0" applyFill="1" applyBorder="1" applyAlignment="1" applyProtection="1">
      <alignment vertical="top" wrapText="1"/>
      <protection/>
    </xf>
    <xf numFmtId="0" fontId="0" fillId="20" borderId="0" xfId="0" applyFill="1" applyBorder="1" applyAlignment="1" applyProtection="1">
      <alignment vertical="center"/>
      <protection/>
    </xf>
    <xf numFmtId="0" fontId="0" fillId="20" borderId="32" xfId="0" applyFill="1" applyBorder="1" applyAlignment="1">
      <alignment horizontal="left" vertical="center"/>
    </xf>
    <xf numFmtId="0" fontId="0" fillId="20" borderId="8" xfId="0" applyFill="1" applyBorder="1" applyAlignment="1">
      <alignment vertical="center"/>
    </xf>
    <xf numFmtId="0" fontId="0" fillId="20" borderId="8" xfId="0" applyFill="1" applyBorder="1" applyAlignment="1">
      <alignment horizontal="left" vertical="center"/>
    </xf>
    <xf numFmtId="0" fontId="0" fillId="20" borderId="20" xfId="0" applyFill="1" applyBorder="1" applyAlignment="1" applyProtection="1">
      <alignment vertical="center"/>
      <protection/>
    </xf>
    <xf numFmtId="0" fontId="0" fillId="20" borderId="5" xfId="0" applyFill="1" applyBorder="1" applyAlignment="1" applyProtection="1">
      <alignment vertical="center"/>
      <protection/>
    </xf>
    <xf numFmtId="0" fontId="0" fillId="20" borderId="34" xfId="0" applyFill="1" applyBorder="1" applyAlignment="1">
      <alignment horizontal="center" vertical="center"/>
    </xf>
    <xf numFmtId="0" fontId="0" fillId="20" borderId="29" xfId="0" applyFill="1" applyBorder="1" applyAlignment="1">
      <alignment vertical="center"/>
    </xf>
    <xf numFmtId="0" fontId="0" fillId="20" borderId="29" xfId="0" applyFill="1" applyBorder="1" applyAlignment="1">
      <alignment horizontal="right" vertical="center"/>
    </xf>
    <xf numFmtId="0" fontId="0" fillId="20" borderId="29" xfId="0" applyFill="1" applyBorder="1" applyAlignment="1">
      <alignment horizontal="left" vertical="center"/>
    </xf>
    <xf numFmtId="0" fontId="0" fillId="20" borderId="29" xfId="0" applyFill="1" applyBorder="1" applyAlignment="1" applyProtection="1">
      <alignment horizontal="center" vertical="center"/>
      <protection/>
    </xf>
    <xf numFmtId="0" fontId="0" fillId="20" borderId="43" xfId="0" applyFill="1" applyBorder="1" applyAlignment="1" applyProtection="1">
      <alignment horizontal="center" vertical="center"/>
      <protection/>
    </xf>
    <xf numFmtId="0" fontId="0" fillId="20" borderId="54" xfId="0" applyFill="1" applyBorder="1" applyAlignment="1">
      <alignment vertical="center"/>
    </xf>
    <xf numFmtId="0" fontId="0" fillId="20" borderId="49" xfId="0" applyFill="1" applyBorder="1" applyAlignment="1" applyProtection="1">
      <alignment vertical="top" wrapText="1"/>
      <protection/>
    </xf>
    <xf numFmtId="0" fontId="0" fillId="20" borderId="50" xfId="0" applyFill="1" applyBorder="1" applyAlignment="1" applyProtection="1">
      <alignment vertical="center"/>
      <protection/>
    </xf>
    <xf numFmtId="0" fontId="0" fillId="20" borderId="51" xfId="0" applyFill="1" applyBorder="1" applyAlignment="1" applyProtection="1">
      <alignment vertical="center"/>
      <protection/>
    </xf>
    <xf numFmtId="0" fontId="0" fillId="20" borderId="55" xfId="0" applyFill="1" applyBorder="1" applyAlignment="1">
      <alignment horizontal="center" vertical="center"/>
    </xf>
    <xf numFmtId="0" fontId="0" fillId="20" borderId="40" xfId="0" applyFill="1" applyBorder="1" applyAlignment="1">
      <alignment vertical="center"/>
    </xf>
    <xf numFmtId="0" fontId="0" fillId="20" borderId="41" xfId="0" applyFill="1" applyBorder="1" applyAlignment="1">
      <alignment horizontal="left" vertical="center"/>
    </xf>
    <xf numFmtId="0" fontId="0" fillId="20" borderId="10" xfId="0" applyFill="1" applyBorder="1" applyAlignment="1">
      <alignment horizontal="left" vertical="center"/>
    </xf>
    <xf numFmtId="0" fontId="0" fillId="20" borderId="18" xfId="0" applyFill="1" applyBorder="1" applyAlignment="1">
      <alignment horizontal="left" vertical="center"/>
    </xf>
    <xf numFmtId="0" fontId="0" fillId="20" borderId="7" xfId="0" applyFill="1" applyBorder="1" applyAlignment="1">
      <alignment vertical="center"/>
    </xf>
    <xf numFmtId="0" fontId="0" fillId="17" borderId="0" xfId="0" applyFill="1" applyBorder="1" applyAlignment="1" applyProtection="1">
      <alignment horizontal="center" vertical="center"/>
      <protection/>
    </xf>
    <xf numFmtId="0" fontId="0" fillId="17" borderId="0" xfId="0" applyFill="1" applyBorder="1" applyAlignment="1" applyProtection="1">
      <alignment horizontal="left" vertical="center"/>
      <protection/>
    </xf>
    <xf numFmtId="0" fontId="0" fillId="4" borderId="5" xfId="0" applyFill="1" applyBorder="1" applyAlignment="1" applyProtection="1">
      <alignment horizontal="right" vertical="center"/>
      <protection/>
    </xf>
    <xf numFmtId="0" fontId="0" fillId="12" borderId="5" xfId="0" applyFill="1" applyBorder="1" applyAlignment="1" applyProtection="1">
      <alignment horizontal="right" vertical="center"/>
      <protection/>
    </xf>
    <xf numFmtId="0" fontId="0" fillId="12" borderId="7" xfId="0" applyFill="1" applyBorder="1" applyAlignment="1" applyProtection="1">
      <alignment horizontal="left" vertical="top" wrapText="1"/>
      <protection/>
    </xf>
    <xf numFmtId="0" fontId="0" fillId="4" borderId="12" xfId="0" applyFill="1" applyBorder="1" applyAlignment="1">
      <alignment vertical="center"/>
    </xf>
    <xf numFmtId="0" fontId="0" fillId="11" borderId="5" xfId="0" applyFill="1" applyBorder="1" applyAlignment="1" applyProtection="1">
      <alignment horizontal="right" vertical="center"/>
      <protection/>
    </xf>
    <xf numFmtId="0" fontId="0" fillId="12" borderId="46" xfId="0" applyFill="1" applyBorder="1" applyAlignment="1">
      <alignment horizontal="right" vertical="center"/>
    </xf>
    <xf numFmtId="0" fontId="0" fillId="12" borderId="48" xfId="0" applyFill="1" applyBorder="1" applyAlignment="1">
      <alignment horizontal="left" vertical="center"/>
    </xf>
    <xf numFmtId="0" fontId="0" fillId="20" borderId="5" xfId="0" applyFill="1" applyBorder="1" applyAlignment="1" applyProtection="1">
      <alignment horizontal="right" vertical="center"/>
      <protection/>
    </xf>
    <xf numFmtId="0" fontId="0" fillId="20" borderId="7" xfId="0" applyFill="1" applyBorder="1" applyAlignment="1" applyProtection="1">
      <alignment horizontal="left" vertical="top" wrapText="1"/>
      <protection/>
    </xf>
    <xf numFmtId="0" fontId="0" fillId="11" borderId="12" xfId="0" applyFill="1" applyBorder="1" applyAlignment="1">
      <alignment vertical="center"/>
    </xf>
    <xf numFmtId="0" fontId="0" fillId="11" borderId="46" xfId="0" applyFill="1" applyBorder="1" applyAlignment="1">
      <alignment horizontal="right" vertical="center"/>
    </xf>
    <xf numFmtId="0" fontId="0" fillId="11" borderId="48" xfId="0" applyFill="1" applyBorder="1" applyAlignment="1">
      <alignment horizontal="left" vertical="center"/>
    </xf>
    <xf numFmtId="0" fontId="0" fillId="25" borderId="18" xfId="0" applyFill="1" applyBorder="1" applyAlignment="1">
      <alignment horizontal="right" vertical="center"/>
    </xf>
    <xf numFmtId="0" fontId="0" fillId="11" borderId="56" xfId="0" applyFill="1" applyBorder="1" applyAlignment="1">
      <alignment horizontal="left" vertical="center"/>
    </xf>
    <xf numFmtId="0" fontId="0" fillId="20" borderId="56" xfId="0" applyFill="1" applyBorder="1" applyAlignment="1">
      <alignment horizontal="center" vertical="center"/>
    </xf>
    <xf numFmtId="0" fontId="0" fillId="20" borderId="39" xfId="0" applyFill="1" applyBorder="1" applyAlignment="1">
      <alignment vertical="center"/>
    </xf>
    <xf numFmtId="0" fontId="0" fillId="20" borderId="48" xfId="0" applyFill="1" applyBorder="1" applyAlignment="1">
      <alignment horizontal="left" vertical="center"/>
    </xf>
    <xf numFmtId="0" fontId="0" fillId="20" borderId="46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5" borderId="27" xfId="0" applyFill="1" applyBorder="1" applyAlignment="1">
      <alignment horizontal="left" vertical="center"/>
    </xf>
    <xf numFmtId="0" fontId="0" fillId="25" borderId="11" xfId="0" applyFill="1" applyBorder="1" applyAlignment="1">
      <alignment horizontal="left" vertical="center"/>
    </xf>
    <xf numFmtId="0" fontId="0" fillId="25" borderId="9" xfId="0" applyFill="1" applyBorder="1" applyAlignment="1">
      <alignment horizontal="left" vertical="center"/>
    </xf>
    <xf numFmtId="0" fontId="0" fillId="25" borderId="47" xfId="0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6" fillId="2" borderId="0" xfId="0" applyFont="1" applyFill="1" applyBorder="1" applyAlignment="1" applyProtection="1">
      <alignment vertical="top"/>
      <protection/>
    </xf>
    <xf numFmtId="0" fontId="0" fillId="2" borderId="3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5" borderId="2" xfId="0" applyFill="1" applyBorder="1" applyAlignment="1">
      <alignment vertical="center"/>
    </xf>
    <xf numFmtId="0" fontId="0" fillId="25" borderId="2" xfId="0" applyFill="1" applyBorder="1" applyAlignment="1" applyProtection="1">
      <alignment horizontal="center" vertical="center"/>
      <protection/>
    </xf>
    <xf numFmtId="0" fontId="0" fillId="25" borderId="2" xfId="0" applyFill="1" applyBorder="1" applyAlignment="1">
      <alignment vertical="center"/>
    </xf>
    <xf numFmtId="0" fontId="0" fillId="18" borderId="52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23" borderId="18" xfId="0" applyFill="1" applyBorder="1" applyAlignment="1">
      <alignment vertical="center"/>
    </xf>
    <xf numFmtId="0" fontId="0" fillId="25" borderId="0" xfId="0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0" fillId="4" borderId="11" xfId="0" applyFill="1" applyBorder="1" applyAlignment="1">
      <alignment horizontal="center" vertical="center"/>
    </xf>
    <xf numFmtId="0" fontId="0" fillId="25" borderId="3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4" borderId="9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17" borderId="6" xfId="0" applyFill="1" applyBorder="1" applyAlignment="1" applyProtection="1">
      <alignment horizontal="center" vertical="center"/>
      <protection/>
    </xf>
    <xf numFmtId="0" fontId="0" fillId="12" borderId="11" xfId="0" applyFill="1" applyBorder="1" applyAlignment="1">
      <alignment horizontal="center" vertical="center"/>
    </xf>
    <xf numFmtId="0" fontId="0" fillId="12" borderId="0" xfId="0" applyFill="1" applyBorder="1" applyAlignment="1">
      <alignment vertical="center" wrapText="1"/>
    </xf>
    <xf numFmtId="0" fontId="0" fillId="12" borderId="8" xfId="0" applyFill="1" applyBorder="1" applyAlignment="1">
      <alignment vertical="center" wrapText="1"/>
    </xf>
    <xf numFmtId="0" fontId="0" fillId="11" borderId="11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12" borderId="1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8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20" borderId="7" xfId="0" applyFill="1" applyBorder="1" applyAlignment="1">
      <alignment vertical="center" wrapText="1"/>
    </xf>
    <xf numFmtId="0" fontId="0" fillId="20" borderId="8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" xfId="0" applyFill="1" applyBorder="1" applyAlignment="1">
      <alignment vertical="center" wrapText="1"/>
    </xf>
    <xf numFmtId="0" fontId="0" fillId="20" borderId="9" xfId="0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5" borderId="0" xfId="0" applyFill="1" applyBorder="1" applyAlignment="1">
      <alignment horizontal="left" vertical="center"/>
    </xf>
    <xf numFmtId="0" fontId="0" fillId="4" borderId="57" xfId="0" applyFill="1" applyBorder="1" applyAlignment="1">
      <alignment horizontal="center" vertical="center"/>
    </xf>
    <xf numFmtId="0" fontId="0" fillId="4" borderId="57" xfId="0" applyFill="1" applyBorder="1" applyAlignment="1">
      <alignment vertical="center"/>
    </xf>
    <xf numFmtId="0" fontId="0" fillId="12" borderId="58" xfId="0" applyFill="1" applyBorder="1" applyAlignment="1">
      <alignment horizontal="center" vertical="center"/>
    </xf>
    <xf numFmtId="0" fontId="0" fillId="12" borderId="56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26" borderId="4" xfId="0" applyFont="1" applyFill="1" applyBorder="1" applyAlignment="1">
      <alignment vertical="center"/>
    </xf>
    <xf numFmtId="0" fontId="0" fillId="26" borderId="1" xfId="0" applyFill="1" applyBorder="1" applyAlignment="1">
      <alignment vertical="center"/>
    </xf>
    <xf numFmtId="0" fontId="0" fillId="26" borderId="9" xfId="0" applyFill="1" applyBorder="1" applyAlignment="1">
      <alignment horizontal="left" vertical="center"/>
    </xf>
    <xf numFmtId="0" fontId="0" fillId="26" borderId="10" xfId="0" applyFont="1" applyFill="1" applyBorder="1" applyAlignment="1">
      <alignment horizontal="left" vertical="center"/>
    </xf>
    <xf numFmtId="0" fontId="0" fillId="26" borderId="18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0" xfId="0" applyFont="1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25" xfId="0" applyFont="1" applyFill="1" applyBorder="1" applyAlignment="1">
      <alignment vertical="center"/>
    </xf>
    <xf numFmtId="0" fontId="0" fillId="26" borderId="26" xfId="0" applyFill="1" applyBorder="1" applyAlignment="1">
      <alignment vertical="center"/>
    </xf>
    <xf numFmtId="0" fontId="0" fillId="26" borderId="27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0" fillId="26" borderId="25" xfId="0" applyFill="1" applyBorder="1" applyAlignment="1">
      <alignment horizontal="left" vertical="center"/>
    </xf>
    <xf numFmtId="0" fontId="0" fillId="26" borderId="10" xfId="0" applyFill="1" applyBorder="1" applyAlignment="1">
      <alignment horizontal="left" vertical="center"/>
    </xf>
    <xf numFmtId="0" fontId="0" fillId="26" borderId="4" xfId="0" applyFill="1" applyBorder="1" applyAlignment="1">
      <alignment horizontal="left" vertical="center"/>
    </xf>
    <xf numFmtId="0" fontId="0" fillId="17" borderId="0" xfId="0" applyFill="1" applyBorder="1" applyAlignment="1">
      <alignment vertical="center" textRotation="255"/>
    </xf>
    <xf numFmtId="0" fontId="0" fillId="4" borderId="3" xfId="0" applyFill="1" applyBorder="1" applyAlignment="1">
      <alignment vertical="center" textRotation="255" wrapText="1"/>
    </xf>
    <xf numFmtId="0" fontId="0" fillId="4" borderId="4" xfId="0" applyFill="1" applyBorder="1" applyAlignment="1">
      <alignment vertical="center" textRotation="255" wrapText="1"/>
    </xf>
    <xf numFmtId="0" fontId="0" fillId="12" borderId="5" xfId="0" applyFill="1" applyBorder="1" applyAlignment="1">
      <alignment vertical="center" textRotation="255"/>
    </xf>
    <xf numFmtId="0" fontId="0" fillId="12" borderId="3" xfId="0" applyFill="1" applyBorder="1" applyAlignment="1">
      <alignment horizontal="center" vertical="center" textRotation="255"/>
    </xf>
    <xf numFmtId="0" fontId="0" fillId="12" borderId="3" xfId="0" applyFill="1" applyBorder="1" applyAlignment="1">
      <alignment vertical="center" textRotation="255" wrapText="1"/>
    </xf>
    <xf numFmtId="0" fontId="0" fillId="12" borderId="4" xfId="0" applyFill="1" applyBorder="1" applyAlignment="1">
      <alignment vertical="center" textRotation="255" wrapText="1"/>
    </xf>
    <xf numFmtId="0" fontId="0" fillId="11" borderId="3" xfId="0" applyFill="1" applyBorder="1" applyAlignment="1">
      <alignment vertical="center" textRotation="255" wrapText="1"/>
    </xf>
    <xf numFmtId="0" fontId="0" fillId="11" borderId="4" xfId="0" applyFill="1" applyBorder="1" applyAlignment="1">
      <alignment vertical="center" textRotation="255" wrapText="1"/>
    </xf>
    <xf numFmtId="0" fontId="0" fillId="20" borderId="5" xfId="0" applyFill="1" applyBorder="1" applyAlignment="1">
      <alignment vertical="center" textRotation="255"/>
    </xf>
    <xf numFmtId="0" fontId="0" fillId="20" borderId="3" xfId="0" applyFill="1" applyBorder="1" applyAlignment="1">
      <alignment horizontal="center" vertical="center" textRotation="255"/>
    </xf>
    <xf numFmtId="0" fontId="0" fillId="20" borderId="5" xfId="0" applyFill="1" applyBorder="1" applyAlignment="1">
      <alignment vertical="center" textRotation="255" wrapText="1"/>
    </xf>
    <xf numFmtId="0" fontId="0" fillId="20" borderId="3" xfId="0" applyFill="1" applyBorder="1" applyAlignment="1">
      <alignment vertical="center" textRotation="255" wrapText="1"/>
    </xf>
    <xf numFmtId="0" fontId="0" fillId="20" borderId="4" xfId="0" applyFill="1" applyBorder="1" applyAlignment="1">
      <alignment vertical="center" textRotation="255" wrapText="1"/>
    </xf>
    <xf numFmtId="0" fontId="0" fillId="4" borderId="31" xfId="0" applyFill="1" applyBorder="1" applyAlignment="1">
      <alignment horizontal="left" vertical="center"/>
    </xf>
    <xf numFmtId="0" fontId="0" fillId="26" borderId="41" xfId="0" applyFill="1" applyBorder="1" applyAlignment="1">
      <alignment horizontal="left" vertical="center"/>
    </xf>
    <xf numFmtId="0" fontId="0" fillId="26" borderId="42" xfId="0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11" borderId="14" xfId="0" applyFill="1" applyBorder="1" applyAlignment="1">
      <alignment horizontal="center" vertical="center" textRotation="255"/>
    </xf>
    <xf numFmtId="0" fontId="0" fillId="12" borderId="24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12" borderId="14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20" borderId="14" xfId="0" applyFill="1" applyBorder="1" applyAlignment="1">
      <alignment vertical="center" textRotation="255"/>
    </xf>
    <xf numFmtId="0" fontId="0" fillId="20" borderId="24" xfId="0" applyFill="1" applyBorder="1" applyAlignment="1">
      <alignment vertical="center"/>
    </xf>
    <xf numFmtId="0" fontId="0" fillId="20" borderId="5" xfId="0" applyFill="1" applyBorder="1" applyAlignment="1">
      <alignment vertical="center"/>
    </xf>
    <xf numFmtId="0" fontId="0" fillId="20" borderId="14" xfId="0" applyFill="1" applyBorder="1" applyAlignment="1">
      <alignment vertical="center"/>
    </xf>
    <xf numFmtId="0" fontId="0" fillId="12" borderId="34" xfId="0" applyFont="1" applyFill="1" applyBorder="1" applyAlignment="1">
      <alignment vertical="center"/>
    </xf>
    <xf numFmtId="0" fontId="0" fillId="12" borderId="30" xfId="0" applyFill="1" applyBorder="1" applyAlignment="1">
      <alignment horizontal="left" vertical="center"/>
    </xf>
    <xf numFmtId="0" fontId="0" fillId="27" borderId="4" xfId="0" applyFont="1" applyFill="1" applyBorder="1" applyAlignment="1">
      <alignment horizontal="left" vertical="center"/>
    </xf>
    <xf numFmtId="0" fontId="0" fillId="27" borderId="1" xfId="0" applyFont="1" applyFill="1" applyBorder="1" applyAlignment="1">
      <alignment horizontal="left" vertical="center"/>
    </xf>
    <xf numFmtId="0" fontId="0" fillId="27" borderId="9" xfId="0" applyFont="1" applyFill="1" applyBorder="1" applyAlignment="1">
      <alignment horizontal="left" vertical="center"/>
    </xf>
    <xf numFmtId="0" fontId="0" fillId="27" borderId="9" xfId="0" applyFill="1" applyBorder="1" applyAlignment="1">
      <alignment horizontal="left" vertical="center"/>
    </xf>
    <xf numFmtId="0" fontId="0" fillId="27" borderId="10" xfId="0" applyFont="1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27" borderId="4" xfId="0" applyFont="1" applyFill="1" applyBorder="1" applyAlignment="1">
      <alignment vertical="center"/>
    </xf>
    <xf numFmtId="0" fontId="0" fillId="27" borderId="1" xfId="0" applyFill="1" applyBorder="1" applyAlignment="1">
      <alignment vertical="center"/>
    </xf>
    <xf numFmtId="0" fontId="0" fillId="27" borderId="10" xfId="0" applyFont="1" applyFill="1" applyBorder="1" applyAlignment="1">
      <alignment vertical="center"/>
    </xf>
    <xf numFmtId="0" fontId="0" fillId="27" borderId="18" xfId="0" applyFill="1" applyBorder="1" applyAlignment="1">
      <alignment vertical="center"/>
    </xf>
    <xf numFmtId="0" fontId="0" fillId="27" borderId="25" xfId="0" applyFont="1" applyFill="1" applyBorder="1" applyAlignment="1">
      <alignment vertical="center"/>
    </xf>
    <xf numFmtId="0" fontId="0" fillId="27" borderId="26" xfId="0" applyFill="1" applyBorder="1" applyAlignment="1">
      <alignment vertical="center"/>
    </xf>
    <xf numFmtId="0" fontId="0" fillId="27" borderId="27" xfId="0" applyFill="1" applyBorder="1" applyAlignment="1">
      <alignment horizontal="left" vertical="center"/>
    </xf>
    <xf numFmtId="0" fontId="0" fillId="12" borderId="34" xfId="0" applyFill="1" applyBorder="1" applyAlignment="1">
      <alignment horizontal="left" vertical="center"/>
    </xf>
    <xf numFmtId="0" fontId="0" fillId="27" borderId="25" xfId="0" applyFill="1" applyBorder="1" applyAlignment="1">
      <alignment horizontal="left" vertical="center"/>
    </xf>
    <xf numFmtId="0" fontId="0" fillId="27" borderId="4" xfId="0" applyFill="1" applyBorder="1" applyAlignment="1">
      <alignment horizontal="left" vertical="center"/>
    </xf>
    <xf numFmtId="0" fontId="0" fillId="12" borderId="31" xfId="0" applyFill="1" applyBorder="1" applyAlignment="1">
      <alignment horizontal="left" vertical="center"/>
    </xf>
    <xf numFmtId="0" fontId="0" fillId="11" borderId="34" xfId="0" applyFont="1" applyFill="1" applyBorder="1" applyAlignment="1">
      <alignment vertical="center"/>
    </xf>
    <xf numFmtId="0" fontId="0" fillId="11" borderId="30" xfId="0" applyFill="1" applyBorder="1" applyAlignment="1">
      <alignment horizontal="left" vertical="center"/>
    </xf>
    <xf numFmtId="0" fontId="0" fillId="11" borderId="56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20" borderId="56" xfId="0" applyFill="1" applyBorder="1" applyAlignment="1">
      <alignment vertical="center"/>
    </xf>
    <xf numFmtId="0" fontId="0" fillId="28" borderId="8" xfId="0" applyFill="1" applyBorder="1" applyAlignment="1">
      <alignment horizontal="left" vertical="center"/>
    </xf>
    <xf numFmtId="0" fontId="0" fillId="28" borderId="10" xfId="0" applyFont="1" applyFill="1" applyBorder="1" applyAlignment="1">
      <alignment horizontal="left" vertical="center"/>
    </xf>
    <xf numFmtId="0" fontId="0" fillId="28" borderId="18" xfId="0" applyFont="1" applyFill="1" applyBorder="1" applyAlignment="1">
      <alignment horizontal="left" vertical="center"/>
    </xf>
    <xf numFmtId="0" fontId="0" fillId="28" borderId="11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25" xfId="0" applyFont="1" applyFill="1" applyBorder="1" applyAlignment="1">
      <alignment vertical="center"/>
    </xf>
    <xf numFmtId="0" fontId="0" fillId="28" borderId="26" xfId="0" applyFill="1" applyBorder="1" applyAlignment="1">
      <alignment vertical="center"/>
    </xf>
    <xf numFmtId="0" fontId="0" fillId="28" borderId="27" xfId="0" applyFill="1" applyBorder="1" applyAlignment="1">
      <alignment horizontal="left" vertical="center"/>
    </xf>
    <xf numFmtId="0" fontId="0" fillId="28" borderId="10" xfId="0" applyFont="1" applyFill="1" applyBorder="1" applyAlignment="1">
      <alignment vertical="center"/>
    </xf>
    <xf numFmtId="0" fontId="0" fillId="28" borderId="18" xfId="0" applyFill="1" applyBorder="1" applyAlignment="1">
      <alignment vertical="center"/>
    </xf>
    <xf numFmtId="0" fontId="0" fillId="28" borderId="9" xfId="0" applyFill="1" applyBorder="1" applyAlignment="1">
      <alignment horizontal="left" vertical="center"/>
    </xf>
    <xf numFmtId="0" fontId="0" fillId="11" borderId="34" xfId="0" applyFill="1" applyBorder="1" applyAlignment="1">
      <alignment horizontal="left" vertical="center"/>
    </xf>
    <xf numFmtId="0" fontId="0" fillId="28" borderId="25" xfId="0" applyFill="1" applyBorder="1" applyAlignment="1">
      <alignment horizontal="left" vertical="center"/>
    </xf>
    <xf numFmtId="0" fontId="0" fillId="28" borderId="4" xfId="0" applyFill="1" applyBorder="1" applyAlignment="1">
      <alignment horizontal="left" vertical="center"/>
    </xf>
    <xf numFmtId="0" fontId="0" fillId="11" borderId="31" xfId="0" applyFill="1" applyBorder="1" applyAlignment="1">
      <alignment horizontal="left" vertical="center"/>
    </xf>
    <xf numFmtId="0" fontId="0" fillId="20" borderId="34" xfId="0" applyFont="1" applyFill="1" applyBorder="1" applyAlignment="1">
      <alignment vertical="center"/>
    </xf>
    <xf numFmtId="0" fontId="0" fillId="20" borderId="30" xfId="0" applyFill="1" applyBorder="1" applyAlignment="1">
      <alignment horizontal="left" vertical="center"/>
    </xf>
    <xf numFmtId="0" fontId="0" fillId="29" borderId="4" xfId="0" applyFont="1" applyFill="1" applyBorder="1" applyAlignment="1">
      <alignment horizontal="left" vertical="center"/>
    </xf>
    <xf numFmtId="0" fontId="0" fillId="29" borderId="1" xfId="0" applyFont="1" applyFill="1" applyBorder="1" applyAlignment="1">
      <alignment horizontal="left" vertical="center"/>
    </xf>
    <xf numFmtId="0" fontId="0" fillId="29" borderId="9" xfId="0" applyFont="1" applyFill="1" applyBorder="1" applyAlignment="1">
      <alignment horizontal="left" vertical="center"/>
    </xf>
    <xf numFmtId="0" fontId="0" fillId="29" borderId="9" xfId="0" applyFill="1" applyBorder="1" applyAlignment="1">
      <alignment horizontal="left" vertical="center"/>
    </xf>
    <xf numFmtId="0" fontId="0" fillId="29" borderId="10" xfId="0" applyFont="1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25" xfId="0" applyFont="1" applyFill="1" applyBorder="1" applyAlignment="1">
      <alignment vertical="center"/>
    </xf>
    <xf numFmtId="0" fontId="0" fillId="29" borderId="26" xfId="0" applyFill="1" applyBorder="1" applyAlignment="1">
      <alignment vertical="center"/>
    </xf>
    <xf numFmtId="0" fontId="0" fillId="29" borderId="27" xfId="0" applyFill="1" applyBorder="1" applyAlignment="1">
      <alignment horizontal="left" vertical="center"/>
    </xf>
    <xf numFmtId="0" fontId="0" fillId="29" borderId="10" xfId="0" applyFont="1" applyFill="1" applyBorder="1" applyAlignment="1">
      <alignment vertical="center"/>
    </xf>
    <xf numFmtId="0" fontId="0" fillId="29" borderId="18" xfId="0" applyFill="1" applyBorder="1" applyAlignment="1">
      <alignment vertical="center"/>
    </xf>
    <xf numFmtId="0" fontId="0" fillId="20" borderId="34" xfId="0" applyFill="1" applyBorder="1" applyAlignment="1">
      <alignment horizontal="left" vertical="center"/>
    </xf>
    <xf numFmtId="0" fontId="0" fillId="29" borderId="25" xfId="0" applyFill="1" applyBorder="1" applyAlignment="1">
      <alignment horizontal="left" vertical="center"/>
    </xf>
    <xf numFmtId="0" fontId="0" fillId="29" borderId="4" xfId="0" applyFill="1" applyBorder="1" applyAlignment="1">
      <alignment horizontal="left" vertical="center"/>
    </xf>
    <xf numFmtId="0" fontId="0" fillId="20" borderId="31" xfId="0" applyFill="1" applyBorder="1" applyAlignment="1">
      <alignment horizontal="left" vertical="center"/>
    </xf>
    <xf numFmtId="0" fontId="0" fillId="25" borderId="2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5" borderId="1" xfId="0" applyFill="1" applyBorder="1" applyAlignment="1">
      <alignment horizontal="right" vertical="center"/>
    </xf>
    <xf numFmtId="0" fontId="4" fillId="25" borderId="59" xfId="0" applyFont="1" applyFill="1" applyBorder="1" applyAlignment="1">
      <alignment horizontal="center" vertical="center"/>
    </xf>
    <xf numFmtId="0" fontId="4" fillId="25" borderId="60" xfId="0" applyFont="1" applyFill="1" applyBorder="1" applyAlignment="1">
      <alignment horizontal="center" vertical="center"/>
    </xf>
    <xf numFmtId="0" fontId="4" fillId="25" borderId="61" xfId="0" applyFont="1" applyFill="1" applyBorder="1" applyAlignment="1">
      <alignment horizontal="center" vertical="center"/>
    </xf>
    <xf numFmtId="0" fontId="0" fillId="25" borderId="1" xfId="0" applyFill="1" applyBorder="1" applyAlignment="1">
      <alignment horizontal="left" vertical="center"/>
    </xf>
    <xf numFmtId="0" fontId="0" fillId="25" borderId="6" xfId="0" applyFill="1" applyBorder="1" applyAlignment="1">
      <alignment horizontal="center" vertical="center"/>
    </xf>
    <xf numFmtId="0" fontId="2" fillId="25" borderId="3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vertical="center"/>
    </xf>
    <xf numFmtId="0" fontId="0" fillId="25" borderId="1" xfId="0" applyFill="1" applyBorder="1" applyAlignment="1">
      <alignment vertical="center"/>
    </xf>
    <xf numFmtId="0" fontId="0" fillId="25" borderId="0" xfId="0" applyFill="1" applyBorder="1" applyAlignment="1">
      <alignment horizontal="right" vertical="center"/>
    </xf>
    <xf numFmtId="0" fontId="11" fillId="25" borderId="6" xfId="0" applyFont="1" applyFill="1" applyBorder="1" applyAlignment="1">
      <alignment horizontal="center" vertical="center"/>
    </xf>
    <xf numFmtId="0" fontId="4" fillId="25" borderId="62" xfId="0" applyFont="1" applyFill="1" applyBorder="1" applyAlignment="1">
      <alignment vertical="center"/>
    </xf>
    <xf numFmtId="0" fontId="4" fillId="25" borderId="63" xfId="0" applyFont="1" applyFill="1" applyBorder="1" applyAlignment="1">
      <alignment vertical="center"/>
    </xf>
    <xf numFmtId="0" fontId="4" fillId="25" borderId="59" xfId="0" applyFont="1" applyFill="1" applyBorder="1" applyAlignment="1">
      <alignment vertical="center"/>
    </xf>
    <xf numFmtId="0" fontId="4" fillId="30" borderId="62" xfId="0" applyFont="1" applyFill="1" applyBorder="1" applyAlignment="1">
      <alignment horizontal="left" vertical="center"/>
    </xf>
    <xf numFmtId="0" fontId="4" fillId="30" borderId="5" xfId="0" applyFont="1" applyFill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/>
    </xf>
    <xf numFmtId="0" fontId="4" fillId="25" borderId="60" xfId="0" applyFont="1" applyFill="1" applyBorder="1" applyAlignment="1">
      <alignment vertical="center"/>
    </xf>
    <xf numFmtId="0" fontId="4" fillId="25" borderId="61" xfId="0" applyFont="1" applyFill="1" applyBorder="1" applyAlignment="1">
      <alignment vertical="center"/>
    </xf>
    <xf numFmtId="0" fontId="4" fillId="30" borderId="62" xfId="0" applyFont="1" applyFill="1" applyBorder="1" applyAlignment="1">
      <alignment horizontal="center" vertical="center"/>
    </xf>
    <xf numFmtId="0" fontId="4" fillId="25" borderId="64" xfId="0" applyFont="1" applyFill="1" applyBorder="1" applyAlignment="1">
      <alignment vertical="center"/>
    </xf>
    <xf numFmtId="0" fontId="4" fillId="25" borderId="65" xfId="0" applyFont="1" applyFill="1" applyBorder="1" applyAlignment="1">
      <alignment vertical="center"/>
    </xf>
    <xf numFmtId="0" fontId="0" fillId="25" borderId="60" xfId="0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0" fontId="0" fillId="25" borderId="60" xfId="0" applyFill="1" applyBorder="1" applyAlignment="1">
      <alignment vertical="center"/>
    </xf>
    <xf numFmtId="0" fontId="0" fillId="25" borderId="61" xfId="0" applyFill="1" applyBorder="1" applyAlignment="1">
      <alignment vertical="center"/>
    </xf>
    <xf numFmtId="0" fontId="0" fillId="25" borderId="64" xfId="0" applyFill="1" applyBorder="1" applyAlignment="1">
      <alignment vertical="center"/>
    </xf>
    <xf numFmtId="0" fontId="0" fillId="25" borderId="65" xfId="0" applyFill="1" applyBorder="1" applyAlignment="1">
      <alignment vertical="center"/>
    </xf>
    <xf numFmtId="0" fontId="4" fillId="30" borderId="66" xfId="0" applyFont="1" applyFill="1" applyBorder="1" applyAlignment="1">
      <alignment horizontal="center" vertical="center"/>
    </xf>
    <xf numFmtId="0" fontId="4" fillId="25" borderId="64" xfId="0" applyFont="1" applyFill="1" applyBorder="1" applyAlignment="1">
      <alignment horizontal="center" vertical="center"/>
    </xf>
    <xf numFmtId="0" fontId="0" fillId="25" borderId="2" xfId="0" applyFill="1" applyBorder="1" applyAlignment="1">
      <alignment horizontal="left" vertical="center"/>
    </xf>
    <xf numFmtId="0" fontId="0" fillId="25" borderId="0" xfId="0" applyFill="1" applyAlignment="1">
      <alignment vertical="center"/>
    </xf>
    <xf numFmtId="0" fontId="0" fillId="25" borderId="1" xfId="0" applyFill="1" applyBorder="1" applyAlignment="1">
      <alignment vertical="center"/>
    </xf>
    <xf numFmtId="0" fontId="4" fillId="25" borderId="67" xfId="0" applyFont="1" applyFill="1" applyBorder="1" applyAlignment="1">
      <alignment vertical="center"/>
    </xf>
    <xf numFmtId="0" fontId="4" fillId="30" borderId="5" xfId="0" applyFont="1" applyFill="1" applyBorder="1" applyAlignment="1">
      <alignment horizontal="left" vertical="center"/>
    </xf>
    <xf numFmtId="0" fontId="4" fillId="30" borderId="2" xfId="0" applyFont="1" applyFill="1" applyBorder="1" applyAlignment="1">
      <alignment horizontal="center" vertical="center"/>
    </xf>
    <xf numFmtId="0" fontId="3" fillId="12" borderId="12" xfId="0" applyFont="1" applyFill="1" applyBorder="1" applyAlignment="1" applyProtection="1">
      <alignment vertical="top" wrapText="1"/>
      <protection/>
    </xf>
    <xf numFmtId="0" fontId="3" fillId="25" borderId="5" xfId="0" applyFont="1" applyFill="1" applyBorder="1" applyAlignment="1" applyProtection="1">
      <alignment vertical="top" wrapText="1"/>
      <protection/>
    </xf>
    <xf numFmtId="0" fontId="3" fillId="25" borderId="3" xfId="0" applyFont="1" applyFill="1" applyBorder="1" applyAlignment="1" applyProtection="1">
      <alignment vertical="top" wrapText="1"/>
      <protection/>
    </xf>
    <xf numFmtId="0" fontId="3" fillId="25" borderId="34" xfId="0" applyFont="1" applyFill="1" applyBorder="1" applyAlignment="1" applyProtection="1">
      <alignment vertical="top" wrapText="1"/>
      <protection/>
    </xf>
    <xf numFmtId="0" fontId="0" fillId="17" borderId="10" xfId="0" applyFill="1" applyBorder="1" applyAlignment="1" applyProtection="1">
      <alignment horizontal="left" vertical="center"/>
      <protection/>
    </xf>
    <xf numFmtId="0" fontId="0" fillId="17" borderId="18" xfId="0" applyFill="1" applyBorder="1" applyAlignment="1" applyProtection="1">
      <alignment horizontal="left" vertical="center"/>
      <protection/>
    </xf>
    <xf numFmtId="0" fontId="0" fillId="17" borderId="11" xfId="0" applyFill="1" applyBorder="1" applyAlignment="1" applyProtection="1">
      <alignment horizontal="left" vertical="center"/>
      <protection/>
    </xf>
    <xf numFmtId="0" fontId="0" fillId="25" borderId="10" xfId="0" applyFill="1" applyBorder="1" applyAlignment="1" applyProtection="1">
      <alignment vertical="center"/>
      <protection/>
    </xf>
    <xf numFmtId="0" fontId="0" fillId="25" borderId="11" xfId="0" applyFill="1" applyBorder="1" applyAlignment="1" applyProtection="1">
      <alignment vertical="center"/>
      <protection/>
    </xf>
    <xf numFmtId="0" fontId="3" fillId="25" borderId="3" xfId="0" applyFont="1" applyFill="1" applyBorder="1" applyAlignment="1">
      <alignment vertical="top" wrapText="1"/>
    </xf>
    <xf numFmtId="0" fontId="0" fillId="25" borderId="1" xfId="0" applyFont="1" applyFill="1" applyBorder="1" applyAlignment="1">
      <alignment horizontal="center" vertical="center"/>
    </xf>
    <xf numFmtId="0" fontId="0" fillId="25" borderId="1" xfId="0" applyFont="1" applyFill="1" applyBorder="1" applyAlignment="1">
      <alignment horizontal="left" vertical="center"/>
    </xf>
    <xf numFmtId="0" fontId="4" fillId="25" borderId="68" xfId="0" applyFont="1" applyFill="1" applyBorder="1" applyAlignment="1">
      <alignment vertical="center"/>
    </xf>
    <xf numFmtId="0" fontId="4" fillId="25" borderId="69" xfId="0" applyFont="1" applyFill="1" applyBorder="1" applyAlignment="1">
      <alignment vertical="center"/>
    </xf>
    <xf numFmtId="0" fontId="0" fillId="25" borderId="70" xfId="0" applyFill="1" applyBorder="1" applyAlignment="1">
      <alignment vertical="center"/>
    </xf>
    <xf numFmtId="0" fontId="11" fillId="25" borderId="1" xfId="0" applyFont="1" applyFill="1" applyBorder="1" applyAlignment="1">
      <alignment horizontal="right" vertical="center"/>
    </xf>
    <xf numFmtId="0" fontId="0" fillId="2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17" borderId="0" xfId="0" applyFill="1" applyBorder="1" applyAlignment="1">
      <alignment horizontal="right" vertical="center" wrapText="1"/>
    </xf>
    <xf numFmtId="0" fontId="0" fillId="2" borderId="24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29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right" vertical="center" wrapText="1"/>
    </xf>
    <xf numFmtId="0" fontId="0" fillId="4" borderId="29" xfId="0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 wrapText="1"/>
    </xf>
    <xf numFmtId="0" fontId="0" fillId="11" borderId="2" xfId="0" applyFill="1" applyBorder="1" applyAlignment="1">
      <alignment horizontal="right" vertical="center" wrapText="1"/>
    </xf>
    <xf numFmtId="0" fontId="0" fillId="11" borderId="29" xfId="0" applyFill="1" applyBorder="1" applyAlignment="1">
      <alignment horizontal="right" vertical="center" wrapText="1"/>
    </xf>
    <xf numFmtId="0" fontId="0" fillId="11" borderId="0" xfId="0" applyFill="1" applyBorder="1" applyAlignment="1">
      <alignment horizontal="right" vertical="center" wrapText="1"/>
    </xf>
    <xf numFmtId="0" fontId="0" fillId="20" borderId="2" xfId="0" applyFill="1" applyBorder="1" applyAlignment="1">
      <alignment horizontal="right" vertical="center" wrapText="1"/>
    </xf>
    <xf numFmtId="0" fontId="0" fillId="20" borderId="29" xfId="0" applyFill="1" applyBorder="1" applyAlignment="1">
      <alignment horizontal="right" vertical="center" wrapText="1"/>
    </xf>
    <xf numFmtId="0" fontId="0" fillId="20" borderId="0" xfId="0" applyFill="1" applyBorder="1" applyAlignment="1">
      <alignment horizontal="right" vertical="center" wrapText="1"/>
    </xf>
    <xf numFmtId="0" fontId="0" fillId="17" borderId="0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17" borderId="3" xfId="0" applyFill="1" applyBorder="1" applyAlignment="1">
      <alignment horizontal="left" vertical="center" wrapText="1"/>
    </xf>
    <xf numFmtId="0" fontId="0" fillId="25" borderId="2" xfId="0" applyFill="1" applyBorder="1" applyAlignment="1">
      <alignment horizontal="left" vertical="center" wrapText="1"/>
    </xf>
    <xf numFmtId="0" fontId="0" fillId="25" borderId="23" xfId="0" applyFill="1" applyBorder="1" applyAlignment="1">
      <alignment horizontal="right" vertical="center" wrapText="1"/>
    </xf>
    <xf numFmtId="0" fontId="0" fillId="17" borderId="3" xfId="0" applyFill="1" applyBorder="1" applyAlignment="1" applyProtection="1">
      <alignment horizontal="right" vertical="center" wrapText="1"/>
      <protection/>
    </xf>
    <xf numFmtId="0" fontId="0" fillId="12" borderId="2" xfId="0" applyFill="1" applyBorder="1" applyAlignment="1">
      <alignment horizontal="right" vertical="center" wrapText="1"/>
    </xf>
    <xf numFmtId="0" fontId="0" fillId="12" borderId="29" xfId="0" applyFill="1" applyBorder="1" applyAlignment="1">
      <alignment horizontal="right" vertical="center" wrapText="1"/>
    </xf>
    <xf numFmtId="0" fontId="0" fillId="12" borderId="0" xfId="0" applyFill="1" applyBorder="1" applyAlignment="1">
      <alignment horizontal="right" vertical="center" wrapText="1"/>
    </xf>
    <xf numFmtId="0" fontId="0" fillId="20" borderId="52" xfId="0" applyFill="1" applyBorder="1" applyAlignment="1">
      <alignment horizontal="left" vertical="center"/>
    </xf>
    <xf numFmtId="0" fontId="0" fillId="18" borderId="41" xfId="0" applyFill="1" applyBorder="1" applyAlignment="1" applyProtection="1">
      <alignment vertical="center"/>
      <protection/>
    </xf>
    <xf numFmtId="0" fontId="0" fillId="4" borderId="41" xfId="0" applyFill="1" applyBorder="1" applyAlignment="1">
      <alignment horizontal="left" vertical="center"/>
    </xf>
    <xf numFmtId="0" fontId="0" fillId="4" borderId="42" xfId="0" applyFill="1" applyBorder="1" applyAlignment="1">
      <alignment vertical="center"/>
    </xf>
    <xf numFmtId="0" fontId="0" fillId="20" borderId="71" xfId="0" applyFill="1" applyBorder="1" applyAlignment="1">
      <alignment horizontal="left" vertical="center"/>
    </xf>
    <xf numFmtId="0" fontId="0" fillId="2" borderId="42" xfId="0" applyFill="1" applyBorder="1" applyAlignment="1">
      <alignment vertical="center"/>
    </xf>
    <xf numFmtId="0" fontId="0" fillId="2" borderId="52" xfId="0" applyFill="1" applyBorder="1" applyAlignment="1">
      <alignment horizontal="left" vertical="center"/>
    </xf>
    <xf numFmtId="0" fontId="0" fillId="18" borderId="41" xfId="0" applyFill="1" applyBorder="1" applyAlignment="1">
      <alignment vertical="center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2" borderId="4" xfId="0" applyFill="1" applyBorder="1" applyAlignment="1">
      <alignment horizontal="right" vertical="center" wrapText="1"/>
    </xf>
    <xf numFmtId="0" fontId="0" fillId="18" borderId="52" xfId="0" applyFill="1" applyBorder="1" applyAlignment="1">
      <alignment horizontal="center" vertical="center" wrapText="1"/>
    </xf>
    <xf numFmtId="0" fontId="0" fillId="18" borderId="42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 wrapText="1"/>
    </xf>
    <xf numFmtId="0" fontId="0" fillId="12" borderId="30" xfId="0" applyFill="1" applyBorder="1" applyAlignment="1">
      <alignment horizontal="left" vertical="center" wrapText="1"/>
    </xf>
    <xf numFmtId="0" fontId="0" fillId="12" borderId="5" xfId="0" applyFill="1" applyBorder="1" applyAlignment="1">
      <alignment horizontal="right" vertical="center" wrapText="1"/>
    </xf>
    <xf numFmtId="0" fontId="0" fillId="12" borderId="3" xfId="0" applyFill="1" applyBorder="1" applyAlignment="1">
      <alignment horizontal="right" vertical="center" wrapText="1"/>
    </xf>
    <xf numFmtId="0" fontId="0" fillId="12" borderId="34" xfId="0" applyFill="1" applyBorder="1" applyAlignment="1">
      <alignment horizontal="right" vertical="center" wrapText="1"/>
    </xf>
    <xf numFmtId="0" fontId="0" fillId="12" borderId="30" xfId="0" applyFill="1" applyBorder="1" applyAlignment="1">
      <alignment horizontal="left" vertical="center"/>
    </xf>
    <xf numFmtId="0" fontId="0" fillId="12" borderId="19" xfId="0" applyFill="1" applyBorder="1" applyAlignment="1">
      <alignment horizontal="left" vertical="center" wrapText="1"/>
    </xf>
    <xf numFmtId="0" fontId="0" fillId="12" borderId="8" xfId="0" applyFill="1" applyBorder="1" applyAlignment="1">
      <alignment horizontal="left" vertical="center" wrapText="1"/>
    </xf>
    <xf numFmtId="0" fontId="0" fillId="12" borderId="51" xfId="0" applyFill="1" applyBorder="1" applyAlignment="1">
      <alignment horizontal="left" vertical="center" wrapText="1"/>
    </xf>
    <xf numFmtId="0" fontId="0" fillId="12" borderId="72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8" borderId="73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left" vertical="center"/>
    </xf>
    <xf numFmtId="0" fontId="0" fillId="12" borderId="9" xfId="0" applyFill="1" applyBorder="1" applyAlignment="1">
      <alignment horizontal="left" vertical="center"/>
    </xf>
    <xf numFmtId="0" fontId="0" fillId="17" borderId="3" xfId="0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17" borderId="3" xfId="0" applyFill="1" applyBorder="1" applyAlignment="1">
      <alignment horizontal="left" vertical="center" wrapText="1"/>
    </xf>
    <xf numFmtId="0" fontId="0" fillId="17" borderId="0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11" borderId="7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1" borderId="14" xfId="0" applyFill="1" applyBorder="1" applyAlignment="1" applyProtection="1">
      <alignment horizontal="center" vertical="center"/>
      <protection/>
    </xf>
    <xf numFmtId="0" fontId="0" fillId="11" borderId="54" xfId="0" applyFill="1" applyBorder="1" applyAlignment="1" applyProtection="1">
      <alignment horizontal="center" vertical="center"/>
      <protection/>
    </xf>
    <xf numFmtId="0" fontId="0" fillId="11" borderId="74" xfId="0" applyFill="1" applyBorder="1" applyAlignment="1" applyProtection="1">
      <alignment horizontal="center" vertical="center"/>
      <protection/>
    </xf>
    <xf numFmtId="0" fontId="0" fillId="17" borderId="3" xfId="0" applyFill="1" applyBorder="1" applyAlignment="1" applyProtection="1">
      <alignment horizontal="center" vertical="center" wrapText="1"/>
      <protection/>
    </xf>
    <xf numFmtId="0" fontId="0" fillId="17" borderId="8" xfId="0" applyFill="1" applyBorder="1" applyAlignment="1" applyProtection="1">
      <alignment horizontal="center" vertical="center" wrapText="1"/>
      <protection/>
    </xf>
    <xf numFmtId="0" fontId="0" fillId="23" borderId="11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1" borderId="75" xfId="0" applyFill="1" applyBorder="1" applyAlignment="1" applyProtection="1">
      <alignment horizontal="center" vertical="center"/>
      <protection/>
    </xf>
    <xf numFmtId="0" fontId="0" fillId="23" borderId="72" xfId="0" applyFill="1" applyBorder="1" applyAlignment="1">
      <alignment horizontal="center" vertical="center" wrapText="1"/>
    </xf>
    <xf numFmtId="0" fontId="0" fillId="23" borderId="18" xfId="0" applyFill="1" applyBorder="1" applyAlignment="1">
      <alignment horizontal="center" vertical="center" wrapText="1"/>
    </xf>
    <xf numFmtId="0" fontId="0" fillId="11" borderId="15" xfId="0" applyFill="1" applyBorder="1" applyAlignment="1" applyProtection="1">
      <alignment horizontal="center" vertical="center"/>
      <protection/>
    </xf>
    <xf numFmtId="0" fontId="0" fillId="11" borderId="34" xfId="0" applyFill="1" applyBorder="1" applyAlignment="1">
      <alignment horizontal="right" vertical="center" wrapText="1"/>
    </xf>
    <xf numFmtId="0" fontId="0" fillId="11" borderId="76" xfId="0" applyFill="1" applyBorder="1" applyAlignment="1" applyProtection="1">
      <alignment horizontal="center" vertical="center"/>
      <protection/>
    </xf>
    <xf numFmtId="0" fontId="0" fillId="11" borderId="9" xfId="0" applyFill="1" applyBorder="1" applyAlignment="1">
      <alignment horizontal="left" vertical="center"/>
    </xf>
    <xf numFmtId="0" fontId="0" fillId="11" borderId="19" xfId="0" applyFill="1" applyBorder="1" applyAlignment="1">
      <alignment horizontal="left" vertical="center"/>
    </xf>
    <xf numFmtId="0" fontId="0" fillId="11" borderId="30" xfId="0" applyFill="1" applyBorder="1" applyAlignment="1">
      <alignment horizontal="left" vertical="center" wrapText="1"/>
    </xf>
    <xf numFmtId="0" fontId="0" fillId="11" borderId="77" xfId="0" applyFill="1" applyBorder="1" applyAlignment="1">
      <alignment horizontal="right" vertical="center"/>
    </xf>
    <xf numFmtId="0" fontId="0" fillId="11" borderId="7" xfId="0" applyFill="1" applyBorder="1" applyAlignment="1">
      <alignment horizontal="left" vertical="center" wrapText="1"/>
    </xf>
    <xf numFmtId="0" fontId="0" fillId="11" borderId="3" xfId="0" applyFill="1" applyBorder="1" applyAlignment="1">
      <alignment horizontal="right" vertical="center" wrapText="1"/>
    </xf>
    <xf numFmtId="0" fontId="0" fillId="11" borderId="11" xfId="0" applyFill="1" applyBorder="1" applyAlignment="1">
      <alignment horizontal="left" vertical="center" wrapText="1"/>
    </xf>
    <xf numFmtId="0" fontId="0" fillId="11" borderId="9" xfId="0" applyFill="1" applyBorder="1" applyAlignment="1">
      <alignment horizontal="left" vertical="center" wrapText="1"/>
    </xf>
    <xf numFmtId="0" fontId="0" fillId="11" borderId="8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1" borderId="30" xfId="0" applyFill="1" applyBorder="1" applyAlignment="1">
      <alignment horizontal="left" vertical="center"/>
    </xf>
    <xf numFmtId="0" fontId="0" fillId="11" borderId="19" xfId="0" applyFill="1" applyBorder="1" applyAlignment="1">
      <alignment horizontal="left" vertical="center" wrapText="1"/>
    </xf>
    <xf numFmtId="0" fontId="0" fillId="11" borderId="8" xfId="0" applyFill="1" applyBorder="1" applyAlignment="1">
      <alignment horizontal="left" vertical="center" wrapText="1"/>
    </xf>
    <xf numFmtId="0" fontId="0" fillId="11" borderId="51" xfId="0" applyFill="1" applyBorder="1" applyAlignment="1">
      <alignment horizontal="left" vertical="center" wrapText="1"/>
    </xf>
    <xf numFmtId="0" fontId="4" fillId="25" borderId="70" xfId="0" applyFont="1" applyFill="1" applyBorder="1" applyAlignment="1">
      <alignment horizontal="center" vertical="center"/>
    </xf>
    <xf numFmtId="0" fontId="4" fillId="25" borderId="63" xfId="0" applyFont="1" applyFill="1" applyBorder="1" applyAlignment="1">
      <alignment horizontal="left" vertical="center"/>
    </xf>
    <xf numFmtId="0" fontId="0" fillId="25" borderId="1" xfId="0" applyFont="1" applyFill="1" applyBorder="1" applyAlignment="1">
      <alignment horizontal="center" vertical="center"/>
    </xf>
    <xf numFmtId="0" fontId="4" fillId="25" borderId="63" xfId="0" applyFont="1" applyFill="1" applyBorder="1" applyAlignment="1">
      <alignment horizontal="center" vertical="center"/>
    </xf>
    <xf numFmtId="0" fontId="4" fillId="25" borderId="59" xfId="0" applyFont="1" applyFill="1" applyBorder="1" applyAlignment="1">
      <alignment horizontal="center" vertical="center"/>
    </xf>
    <xf numFmtId="0" fontId="4" fillId="25" borderId="62" xfId="0" applyFont="1" applyFill="1" applyBorder="1" applyAlignment="1">
      <alignment horizontal="center" vertical="center"/>
    </xf>
    <xf numFmtId="0" fontId="4" fillId="25" borderId="60" xfId="0" applyFont="1" applyFill="1" applyBorder="1" applyAlignment="1">
      <alignment horizontal="center" vertical="center"/>
    </xf>
    <xf numFmtId="0" fontId="4" fillId="25" borderId="61" xfId="0" applyFont="1" applyFill="1" applyBorder="1" applyAlignment="1">
      <alignment horizontal="center" vertical="center"/>
    </xf>
    <xf numFmtId="0" fontId="4" fillId="25" borderId="78" xfId="0" applyFont="1" applyFill="1" applyBorder="1" applyAlignment="1">
      <alignment horizontal="center" vertical="center"/>
    </xf>
    <xf numFmtId="0" fontId="4" fillId="25" borderId="79" xfId="0" applyFon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5" borderId="1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4" xfId="0" applyFill="1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4" fillId="25" borderId="67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4" fillId="25" borderId="67" xfId="0" applyFont="1" applyFill="1" applyBorder="1" applyAlignment="1">
      <alignment horizontal="left" vertical="center"/>
    </xf>
    <xf numFmtId="0" fontId="4" fillId="25" borderId="59" xfId="0" applyFont="1" applyFill="1" applyBorder="1" applyAlignment="1">
      <alignment horizontal="left" vertical="center"/>
    </xf>
    <xf numFmtId="0" fontId="0" fillId="25" borderId="5" xfId="0" applyFill="1" applyBorder="1" applyAlignment="1">
      <alignment horizontal="center" vertical="center"/>
    </xf>
    <xf numFmtId="0" fontId="0" fillId="25" borderId="7" xfId="0" applyFill="1" applyBorder="1" applyAlignment="1">
      <alignment horizontal="center" vertical="center"/>
    </xf>
    <xf numFmtId="0" fontId="4" fillId="25" borderId="62" xfId="0" applyFont="1" applyFill="1" applyBorder="1" applyAlignment="1">
      <alignment horizontal="left" vertical="center"/>
    </xf>
    <xf numFmtId="0" fontId="4" fillId="25" borderId="60" xfId="0" applyFont="1" applyFill="1" applyBorder="1" applyAlignment="1">
      <alignment horizontal="left" vertical="center"/>
    </xf>
    <xf numFmtId="0" fontId="4" fillId="25" borderId="61" xfId="0" applyFont="1" applyFill="1" applyBorder="1" applyAlignment="1">
      <alignment horizontal="left" vertical="center"/>
    </xf>
    <xf numFmtId="0" fontId="3" fillId="10" borderId="18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>
      <alignment horizontal="center" vertical="center"/>
    </xf>
    <xf numFmtId="49" fontId="3" fillId="12" borderId="0" xfId="0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right" vertical="center"/>
    </xf>
    <xf numFmtId="49" fontId="3" fillId="11" borderId="0" xfId="0" applyNumberFormat="1" applyFont="1" applyFill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0" fontId="3" fillId="11" borderId="0" xfId="0" applyFont="1" applyFill="1" applyBorder="1" applyAlignment="1">
      <alignment horizontal="right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0" xfId="0" applyNumberFormat="1" applyFont="1" applyFill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49" fontId="3" fillId="20" borderId="0" xfId="0" applyNumberFormat="1" applyFont="1" applyFill="1" applyAlignment="1">
      <alignment horizontal="center" vertical="center"/>
    </xf>
    <xf numFmtId="0" fontId="3" fillId="20" borderId="0" xfId="0" applyNumberFormat="1" applyFont="1" applyFill="1" applyAlignment="1">
      <alignment horizontal="center" vertical="center"/>
    </xf>
    <xf numFmtId="0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1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/>
      <protection locked="0"/>
    </xf>
    <xf numFmtId="0" fontId="3" fillId="10" borderId="18" xfId="0" applyFont="1" applyFill="1" applyBorder="1" applyAlignment="1" applyProtection="1">
      <alignment horizontal="left" vertical="center"/>
      <protection locked="0"/>
    </xf>
    <xf numFmtId="0" fontId="3" fillId="10" borderId="11" xfId="0" applyFont="1" applyFill="1" applyBorder="1" applyAlignment="1" applyProtection="1">
      <alignment horizontal="left" vertical="center"/>
      <protection locked="0"/>
    </xf>
    <xf numFmtId="0" fontId="3" fillId="10" borderId="10" xfId="0" applyFont="1" applyFill="1" applyBorder="1" applyAlignment="1" applyProtection="1">
      <alignment horizontal="left" vertical="top"/>
      <protection locked="0"/>
    </xf>
    <xf numFmtId="0" fontId="3" fillId="10" borderId="18" xfId="0" applyFont="1" applyFill="1" applyBorder="1" applyAlignment="1" applyProtection="1">
      <alignment horizontal="left" vertical="top"/>
      <protection locked="0"/>
    </xf>
    <xf numFmtId="0" fontId="3" fillId="10" borderId="11" xfId="0" applyFont="1" applyFill="1" applyBorder="1" applyAlignment="1" applyProtection="1">
      <alignment horizontal="left" vertical="top"/>
      <protection locked="0"/>
    </xf>
    <xf numFmtId="0" fontId="3" fillId="20" borderId="1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 applyProtection="1">
      <alignment horizontal="left" vertical="top" wrapText="1"/>
      <protection locked="0"/>
    </xf>
    <xf numFmtId="0" fontId="3" fillId="10" borderId="18" xfId="0" applyFont="1" applyFill="1" applyBorder="1" applyAlignment="1" applyProtection="1">
      <alignment horizontal="left" vertical="top" wrapText="1"/>
      <protection locked="0"/>
    </xf>
    <xf numFmtId="0" fontId="3" fillId="10" borderId="11" xfId="0" applyFont="1" applyFill="1" applyBorder="1" applyAlignment="1" applyProtection="1">
      <alignment horizontal="left" vertical="top" wrapText="1"/>
      <protection locked="0"/>
    </xf>
    <xf numFmtId="0" fontId="3" fillId="20" borderId="2" xfId="0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applyProtection="1">
      <alignment horizontal="center" vertical="center"/>
      <protection locked="0"/>
    </xf>
    <xf numFmtId="49" fontId="3" fillId="10" borderId="11" xfId="0" applyNumberFormat="1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>
      <alignment horizontal="right" vertical="center" wrapText="1"/>
    </xf>
    <xf numFmtId="0" fontId="0" fillId="12" borderId="7" xfId="0" applyFill="1" applyBorder="1" applyAlignment="1">
      <alignment horizontal="left" vertical="center" wrapText="1"/>
    </xf>
    <xf numFmtId="0" fontId="0" fillId="12" borderId="77" xfId="0" applyFill="1" applyBorder="1" applyAlignment="1">
      <alignment horizontal="right" vertical="center"/>
    </xf>
    <xf numFmtId="0" fontId="0" fillId="12" borderId="74" xfId="0" applyFill="1" applyBorder="1" applyAlignment="1" applyProtection="1">
      <alignment horizontal="center" vertical="center"/>
      <protection/>
    </xf>
    <xf numFmtId="0" fontId="0" fillId="12" borderId="15" xfId="0" applyFill="1" applyBorder="1" applyAlignment="1" applyProtection="1">
      <alignment horizontal="center" vertical="center"/>
      <protection/>
    </xf>
    <xf numFmtId="0" fontId="0" fillId="12" borderId="75" xfId="0" applyFill="1" applyBorder="1" applyAlignment="1" applyProtection="1">
      <alignment horizontal="center" vertical="center"/>
      <protection/>
    </xf>
    <xf numFmtId="0" fontId="0" fillId="12" borderId="12" xfId="0" applyFill="1" applyBorder="1" applyAlignment="1" applyProtection="1">
      <alignment horizontal="center" vertical="center"/>
      <protection/>
    </xf>
    <xf numFmtId="0" fontId="0" fillId="12" borderId="14" xfId="0" applyFill="1" applyBorder="1" applyAlignment="1" applyProtection="1">
      <alignment horizontal="center" vertical="center"/>
      <protection/>
    </xf>
    <xf numFmtId="0" fontId="0" fillId="12" borderId="54" xfId="0" applyFill="1" applyBorder="1" applyAlignment="1" applyProtection="1">
      <alignment horizontal="center" vertical="center"/>
      <protection/>
    </xf>
    <xf numFmtId="0" fontId="0" fillId="4" borderId="19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51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right" vertical="center" wrapText="1"/>
    </xf>
    <xf numFmtId="0" fontId="0" fillId="22" borderId="72" xfId="0" applyFill="1" applyBorder="1" applyAlignment="1">
      <alignment horizontal="center" vertical="center" wrapText="1"/>
    </xf>
    <xf numFmtId="0" fontId="0" fillId="22" borderId="18" xfId="0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51" xfId="0" applyFill="1" applyBorder="1" applyAlignment="1">
      <alignment horizontal="left" vertical="center" wrapText="1"/>
    </xf>
    <xf numFmtId="0" fontId="0" fillId="2" borderId="80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0" borderId="25" xfId="0" applyFill="1" applyBorder="1" applyAlignment="1">
      <alignment horizontal="right" vertical="center"/>
    </xf>
    <xf numFmtId="0" fontId="0" fillId="20" borderId="26" xfId="0" applyFill="1" applyBorder="1" applyAlignment="1">
      <alignment horizontal="right" vertical="center"/>
    </xf>
    <xf numFmtId="0" fontId="0" fillId="25" borderId="10" xfId="0" applyFill="1" applyBorder="1" applyAlignment="1">
      <alignment horizontal="right" vertical="center"/>
    </xf>
    <xf numFmtId="0" fontId="0" fillId="25" borderId="18" xfId="0" applyFill="1" applyBorder="1" applyAlignment="1">
      <alignment horizontal="right" vertical="center"/>
    </xf>
    <xf numFmtId="0" fontId="10" fillId="17" borderId="5" xfId="0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0" fontId="10" fillId="17" borderId="7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8" xfId="0" applyFont="1" applyFill="1" applyBorder="1" applyAlignment="1">
      <alignment horizontal="center" vertical="center"/>
    </xf>
    <xf numFmtId="0" fontId="10" fillId="17" borderId="4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10" fillId="17" borderId="9" xfId="0" applyFont="1" applyFill="1" applyBorder="1" applyAlignment="1">
      <alignment horizontal="center" vertical="center"/>
    </xf>
    <xf numFmtId="0" fontId="0" fillId="17" borderId="10" xfId="0" applyFill="1" applyBorder="1" applyAlignment="1" applyProtection="1">
      <alignment horizontal="left" vertical="center"/>
      <protection/>
    </xf>
    <xf numFmtId="0" fontId="0" fillId="17" borderId="18" xfId="0" applyFill="1" applyBorder="1" applyAlignment="1" applyProtection="1">
      <alignment horizontal="left" vertical="center"/>
      <protection/>
    </xf>
    <xf numFmtId="0" fontId="0" fillId="17" borderId="11" xfId="0" applyFill="1" applyBorder="1" applyAlignment="1" applyProtection="1">
      <alignment horizontal="left" vertical="center"/>
      <protection/>
    </xf>
    <xf numFmtId="0" fontId="0" fillId="17" borderId="10" xfId="0" applyFill="1" applyBorder="1" applyAlignment="1" applyProtection="1">
      <alignment horizontal="center" vertical="center"/>
      <protection/>
    </xf>
    <xf numFmtId="0" fontId="0" fillId="17" borderId="11" xfId="0" applyFill="1" applyBorder="1" applyAlignment="1" applyProtection="1">
      <alignment horizontal="center" vertical="center"/>
      <protection/>
    </xf>
    <xf numFmtId="0" fontId="0" fillId="11" borderId="10" xfId="0" applyFill="1" applyBorder="1" applyAlignment="1">
      <alignment horizontal="right" vertical="center"/>
    </xf>
    <xf numFmtId="0" fontId="0" fillId="11" borderId="18" xfId="0" applyFill="1" applyBorder="1" applyAlignment="1">
      <alignment horizontal="right" vertical="center"/>
    </xf>
    <xf numFmtId="0" fontId="0" fillId="20" borderId="5" xfId="0" applyFill="1" applyBorder="1" applyAlignment="1">
      <alignment horizontal="right" vertical="center"/>
    </xf>
    <xf numFmtId="0" fontId="0" fillId="20" borderId="2" xfId="0" applyFill="1" applyBorder="1" applyAlignment="1">
      <alignment horizontal="right" vertical="center"/>
    </xf>
    <xf numFmtId="0" fontId="0" fillId="20" borderId="10" xfId="0" applyFill="1" applyBorder="1" applyAlignment="1">
      <alignment horizontal="right" vertical="center"/>
    </xf>
    <xf numFmtId="0" fontId="0" fillId="20" borderId="18" xfId="0" applyFill="1" applyBorder="1" applyAlignment="1">
      <alignment horizontal="right" vertical="center"/>
    </xf>
    <xf numFmtId="0" fontId="0" fillId="12" borderId="25" xfId="0" applyFill="1" applyBorder="1" applyAlignment="1">
      <alignment horizontal="right" vertical="center" wrapText="1"/>
    </xf>
    <xf numFmtId="0" fontId="0" fillId="12" borderId="10" xfId="0" applyFill="1" applyBorder="1" applyAlignment="1">
      <alignment horizontal="right" vertical="center"/>
    </xf>
    <xf numFmtId="0" fontId="0" fillId="12" borderId="18" xfId="0" applyFill="1" applyBorder="1" applyAlignment="1">
      <alignment horizontal="right" vertical="center"/>
    </xf>
    <xf numFmtId="0" fontId="0" fillId="20" borderId="31" xfId="0" applyFill="1" applyBorder="1" applyAlignment="1">
      <alignment horizontal="right" vertical="center"/>
    </xf>
    <xf numFmtId="0" fontId="0" fillId="20" borderId="24" xfId="0" applyFill="1" applyBorder="1" applyAlignment="1">
      <alignment horizontal="right" vertical="center"/>
    </xf>
    <xf numFmtId="0" fontId="0" fillId="12" borderId="81" xfId="0" applyFill="1" applyBorder="1" applyAlignment="1">
      <alignment horizontal="right" vertical="center" wrapText="1"/>
    </xf>
    <xf numFmtId="0" fontId="0" fillId="12" borderId="82" xfId="0" applyFill="1" applyBorder="1" applyAlignment="1" applyProtection="1">
      <alignment horizontal="center" vertical="center"/>
      <protection/>
    </xf>
    <xf numFmtId="0" fontId="0" fillId="12" borderId="83" xfId="0" applyFill="1" applyBorder="1" applyAlignment="1" applyProtection="1">
      <alignment horizontal="center" vertical="center"/>
      <protection/>
    </xf>
    <xf numFmtId="0" fontId="0" fillId="20" borderId="31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12" borderId="25" xfId="0" applyFill="1" applyBorder="1" applyAlignment="1">
      <alignment horizontal="right" vertical="center"/>
    </xf>
    <xf numFmtId="0" fontId="0" fillId="12" borderId="26" xfId="0" applyFill="1" applyBorder="1" applyAlignment="1">
      <alignment horizontal="right" vertical="center"/>
    </xf>
    <xf numFmtId="0" fontId="0" fillId="12" borderId="5" xfId="0" applyFill="1" applyBorder="1" applyAlignment="1">
      <alignment horizontal="right" vertical="center"/>
    </xf>
    <xf numFmtId="0" fontId="0" fillId="12" borderId="2" xfId="0" applyFill="1" applyBorder="1" applyAlignment="1">
      <alignment horizontal="right" vertical="center"/>
    </xf>
    <xf numFmtId="0" fontId="0" fillId="12" borderId="31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25" borderId="25" xfId="0" applyFill="1" applyBorder="1" applyAlignment="1">
      <alignment horizontal="right" vertical="center"/>
    </xf>
    <xf numFmtId="0" fontId="0" fillId="25" borderId="26" xfId="0" applyFill="1" applyBorder="1" applyAlignment="1">
      <alignment horizontal="right" vertical="center"/>
    </xf>
    <xf numFmtId="0" fontId="0" fillId="12" borderId="1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20" borderId="10" xfId="0" applyFill="1" applyBorder="1" applyAlignment="1">
      <alignment horizontal="left" vertical="center" wrapText="1"/>
    </xf>
    <xf numFmtId="0" fontId="0" fillId="20" borderId="18" xfId="0" applyFill="1" applyBorder="1" applyAlignment="1">
      <alignment horizontal="left" vertical="center" wrapText="1"/>
    </xf>
    <xf numFmtId="0" fontId="0" fillId="20" borderId="11" xfId="0" applyFill="1" applyBorder="1" applyAlignment="1">
      <alignment horizontal="left" vertical="center" wrapText="1"/>
    </xf>
    <xf numFmtId="0" fontId="0" fillId="20" borderId="10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10" fillId="20" borderId="55" xfId="0" applyFont="1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 textRotation="255"/>
    </xf>
    <xf numFmtId="0" fontId="0" fillId="20" borderId="55" xfId="0" applyFill="1" applyBorder="1" applyAlignment="1">
      <alignment horizontal="center" vertical="center" textRotation="255"/>
    </xf>
    <xf numFmtId="0" fontId="0" fillId="20" borderId="82" xfId="0" applyFill="1" applyBorder="1" applyAlignment="1">
      <alignment horizontal="center" vertical="center" textRotation="255"/>
    </xf>
    <xf numFmtId="0" fontId="0" fillId="20" borderId="16" xfId="0" applyFill="1" applyBorder="1" applyAlignment="1">
      <alignment horizontal="center" vertical="center" textRotation="255"/>
    </xf>
    <xf numFmtId="0" fontId="3" fillId="2" borderId="84" xfId="0" applyFont="1" applyFill="1" applyBorder="1" applyAlignment="1">
      <alignment horizontal="left" vertical="top" wrapText="1"/>
    </xf>
    <xf numFmtId="0" fontId="3" fillId="2" borderId="71" xfId="0" applyFont="1" applyFill="1" applyBorder="1" applyAlignment="1">
      <alignment horizontal="left" vertical="top" wrapText="1"/>
    </xf>
    <xf numFmtId="0" fontId="3" fillId="2" borderId="8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10" fillId="20" borderId="33" xfId="0" applyFont="1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 textRotation="255"/>
    </xf>
    <xf numFmtId="0" fontId="0" fillId="20" borderId="81" xfId="0" applyFill="1" applyBorder="1" applyAlignment="1">
      <alignment horizontal="right" vertical="center" wrapText="1"/>
    </xf>
    <xf numFmtId="0" fontId="0" fillId="20" borderId="3" xfId="0" applyFill="1" applyBorder="1" applyAlignment="1">
      <alignment horizontal="right" vertical="center" wrapText="1"/>
    </xf>
    <xf numFmtId="0" fontId="0" fillId="20" borderId="34" xfId="0" applyFill="1" applyBorder="1" applyAlignment="1">
      <alignment horizontal="right" vertical="center" wrapText="1"/>
    </xf>
    <xf numFmtId="0" fontId="0" fillId="20" borderId="82" xfId="0" applyFill="1" applyBorder="1" applyAlignment="1" applyProtection="1">
      <alignment horizontal="center" vertical="center"/>
      <protection/>
    </xf>
    <xf numFmtId="0" fontId="0" fillId="20" borderId="14" xfId="0" applyFill="1" applyBorder="1" applyAlignment="1" applyProtection="1">
      <alignment horizontal="center" vertical="center"/>
      <protection/>
    </xf>
    <xf numFmtId="0" fontId="0" fillId="20" borderId="54" xfId="0" applyFill="1" applyBorder="1" applyAlignment="1" applyProtection="1">
      <alignment horizontal="center" vertical="center"/>
      <protection/>
    </xf>
    <xf numFmtId="0" fontId="0" fillId="20" borderId="54" xfId="0" applyFill="1" applyBorder="1" applyAlignment="1">
      <alignment horizontal="center" vertical="center" textRotation="255"/>
    </xf>
    <xf numFmtId="0" fontId="10" fillId="20" borderId="54" xfId="0" applyFont="1" applyFill="1" applyBorder="1" applyAlignment="1">
      <alignment horizontal="center" vertical="center"/>
    </xf>
    <xf numFmtId="0" fontId="10" fillId="20" borderId="82" xfId="0" applyFont="1" applyFill="1" applyBorder="1" applyAlignment="1">
      <alignment horizontal="center" vertical="center"/>
    </xf>
    <xf numFmtId="0" fontId="0" fillId="20" borderId="83" xfId="0" applyFill="1" applyBorder="1" applyAlignment="1" applyProtection="1">
      <alignment horizontal="center" vertical="center"/>
      <protection/>
    </xf>
    <xf numFmtId="0" fontId="0" fillId="20" borderId="15" xfId="0" applyFill="1" applyBorder="1" applyAlignment="1" applyProtection="1">
      <alignment horizontal="center" vertical="center"/>
      <protection/>
    </xf>
    <xf numFmtId="0" fontId="0" fillId="20" borderId="75" xfId="0" applyFill="1" applyBorder="1" applyAlignment="1" applyProtection="1">
      <alignment horizontal="center" vertical="center"/>
      <protection/>
    </xf>
    <xf numFmtId="0" fontId="0" fillId="20" borderId="80" xfId="0" applyFill="1" applyBorder="1" applyAlignment="1" applyProtection="1">
      <alignment horizontal="left" vertical="center"/>
      <protection/>
    </xf>
    <xf numFmtId="0" fontId="0" fillId="20" borderId="8" xfId="0" applyFill="1" applyBorder="1" applyAlignment="1" applyProtection="1">
      <alignment horizontal="left" vertical="center"/>
      <protection/>
    </xf>
    <xf numFmtId="0" fontId="0" fillId="20" borderId="9" xfId="0" applyFill="1" applyBorder="1" applyAlignment="1" applyProtection="1">
      <alignment horizontal="left" vertical="center"/>
      <protection/>
    </xf>
    <xf numFmtId="0" fontId="0" fillId="29" borderId="10" xfId="0" applyFill="1" applyBorder="1" applyAlignment="1">
      <alignment horizontal="right" vertical="center"/>
    </xf>
    <xf numFmtId="0" fontId="0" fillId="29" borderId="18" xfId="0" applyFill="1" applyBorder="1" applyAlignment="1">
      <alignment horizontal="right" vertical="center"/>
    </xf>
    <xf numFmtId="0" fontId="0" fillId="29" borderId="10" xfId="0" applyFill="1" applyBorder="1" applyAlignment="1">
      <alignment horizontal="center" vertical="center"/>
    </xf>
    <xf numFmtId="0" fontId="0" fillId="29" borderId="18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0" borderId="5" xfId="0" applyFill="1" applyBorder="1" applyAlignment="1" applyProtection="1">
      <alignment horizontal="right" vertical="center"/>
      <protection/>
    </xf>
    <xf numFmtId="0" fontId="0" fillId="20" borderId="4" xfId="0" applyFill="1" applyBorder="1" applyAlignment="1" applyProtection="1">
      <alignment horizontal="right" vertical="center"/>
      <protection/>
    </xf>
    <xf numFmtId="0" fontId="0" fillId="20" borderId="7" xfId="0" applyFill="1" applyBorder="1" applyAlignment="1" applyProtection="1">
      <alignment horizontal="left" vertical="center"/>
      <protection/>
    </xf>
    <xf numFmtId="0" fontId="0" fillId="20" borderId="10" xfId="0" applyFill="1" applyBorder="1" applyAlignment="1">
      <alignment horizontal="right" vertical="center" wrapText="1"/>
    </xf>
    <xf numFmtId="0" fontId="0" fillId="20" borderId="31" xfId="0" applyFill="1" applyBorder="1" applyAlignment="1">
      <alignment horizontal="right" vertical="center" wrapText="1"/>
    </xf>
    <xf numFmtId="0" fontId="0" fillId="20" borderId="6" xfId="0" applyFill="1" applyBorder="1" applyAlignment="1" applyProtection="1">
      <alignment horizontal="center" vertical="center"/>
      <protection/>
    </xf>
    <xf numFmtId="0" fontId="0" fillId="20" borderId="86" xfId="0" applyFill="1" applyBorder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horizontal="center" vertical="center"/>
      <protection/>
    </xf>
    <xf numFmtId="0" fontId="0" fillId="20" borderId="5" xfId="0" applyFill="1" applyBorder="1" applyAlignment="1" applyProtection="1">
      <alignment horizontal="center" vertical="center"/>
      <protection/>
    </xf>
    <xf numFmtId="0" fontId="10" fillId="11" borderId="14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 textRotation="255"/>
    </xf>
    <xf numFmtId="0" fontId="0" fillId="11" borderId="55" xfId="0" applyFill="1" applyBorder="1" applyAlignment="1">
      <alignment horizontal="center" vertical="center" textRotation="255"/>
    </xf>
    <xf numFmtId="0" fontId="10" fillId="11" borderId="55" xfId="0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 textRotation="255"/>
    </xf>
    <xf numFmtId="0" fontId="10" fillId="11" borderId="54" xfId="0" applyFont="1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 textRotation="255"/>
    </xf>
    <xf numFmtId="0" fontId="10" fillId="11" borderId="82" xfId="0" applyFont="1" applyFill="1" applyBorder="1" applyAlignment="1">
      <alignment horizontal="center" vertical="center"/>
    </xf>
    <xf numFmtId="0" fontId="0" fillId="11" borderId="82" xfId="0" applyFill="1" applyBorder="1" applyAlignment="1">
      <alignment horizontal="center" vertical="center" textRotation="255"/>
    </xf>
    <xf numFmtId="0" fontId="0" fillId="11" borderId="81" xfId="0" applyFill="1" applyBorder="1" applyAlignment="1">
      <alignment horizontal="right" vertical="center" wrapText="1"/>
    </xf>
    <xf numFmtId="0" fontId="0" fillId="11" borderId="82" xfId="0" applyFill="1" applyBorder="1" applyAlignment="1" applyProtection="1">
      <alignment horizontal="center" vertical="center"/>
      <protection/>
    </xf>
    <xf numFmtId="0" fontId="0" fillId="11" borderId="83" xfId="0" applyFill="1" applyBorder="1" applyAlignment="1" applyProtection="1">
      <alignment horizontal="center" vertical="center"/>
      <protection/>
    </xf>
    <xf numFmtId="0" fontId="0" fillId="11" borderId="5" xfId="0" applyFill="1" applyBorder="1" applyAlignment="1">
      <alignment horizontal="right" vertical="center"/>
    </xf>
    <xf numFmtId="0" fontId="0" fillId="11" borderId="2" xfId="0" applyFill="1" applyBorder="1" applyAlignment="1">
      <alignment horizontal="right" vertical="center"/>
    </xf>
    <xf numFmtId="0" fontId="0" fillId="11" borderId="25" xfId="0" applyFill="1" applyBorder="1" applyAlignment="1">
      <alignment horizontal="right" vertical="center"/>
    </xf>
    <xf numFmtId="0" fontId="0" fillId="11" borderId="26" xfId="0" applyFill="1" applyBorder="1" applyAlignment="1">
      <alignment horizontal="right" vertical="center"/>
    </xf>
    <xf numFmtId="0" fontId="3" fillId="31" borderId="81" xfId="0" applyFont="1" applyFill="1" applyBorder="1" applyAlignment="1" applyProtection="1">
      <alignment horizontal="left" vertical="top" wrapText="1"/>
      <protection/>
    </xf>
    <xf numFmtId="0" fontId="3" fillId="31" borderId="87" xfId="0" applyFont="1" applyFill="1" applyBorder="1" applyAlignment="1" applyProtection="1">
      <alignment horizontal="left" vertical="top" wrapText="1"/>
      <protection/>
    </xf>
    <xf numFmtId="0" fontId="3" fillId="31" borderId="3" xfId="0" applyFont="1" applyFill="1" applyBorder="1" applyAlignment="1" applyProtection="1">
      <alignment horizontal="left" vertical="top" wrapText="1"/>
      <protection/>
    </xf>
    <xf numFmtId="0" fontId="3" fillId="31" borderId="38" xfId="0" applyFont="1" applyFill="1" applyBorder="1" applyAlignment="1" applyProtection="1">
      <alignment horizontal="left" vertical="top" wrapText="1"/>
      <protection/>
    </xf>
    <xf numFmtId="0" fontId="3" fillId="31" borderId="34" xfId="0" applyFont="1" applyFill="1" applyBorder="1" applyAlignment="1" applyProtection="1">
      <alignment horizontal="left" vertical="top" wrapText="1"/>
      <protection/>
    </xf>
    <xf numFmtId="0" fontId="3" fillId="31" borderId="43" xfId="0" applyFont="1" applyFill="1" applyBorder="1" applyAlignment="1" applyProtection="1">
      <alignment horizontal="left" vertical="top" wrapText="1"/>
      <protection/>
    </xf>
    <xf numFmtId="0" fontId="0" fillId="11" borderId="33" xfId="0" applyFill="1" applyBorder="1" applyAlignment="1" applyProtection="1">
      <alignment horizontal="center" vertical="center"/>
      <protection/>
    </xf>
    <xf numFmtId="0" fontId="0" fillId="11" borderId="88" xfId="0" applyFill="1" applyBorder="1" applyAlignment="1" applyProtection="1">
      <alignment horizontal="left" vertical="top" wrapText="1"/>
      <protection/>
    </xf>
    <xf numFmtId="0" fontId="0" fillId="11" borderId="53" xfId="0" applyFill="1" applyBorder="1" applyAlignment="1" applyProtection="1">
      <alignment horizontal="left" vertical="top" wrapText="1"/>
      <protection/>
    </xf>
    <xf numFmtId="0" fontId="0" fillId="11" borderId="81" xfId="0" applyFill="1" applyBorder="1" applyAlignment="1" applyProtection="1">
      <alignment horizontal="right" vertical="center"/>
      <protection/>
    </xf>
    <xf numFmtId="0" fontId="0" fillId="11" borderId="3" xfId="0" applyFill="1" applyBorder="1" applyAlignment="1" applyProtection="1">
      <alignment horizontal="right" vertical="center"/>
      <protection/>
    </xf>
    <xf numFmtId="0" fontId="0" fillId="11" borderId="19" xfId="0" applyFill="1" applyBorder="1" applyAlignment="1" applyProtection="1">
      <alignment horizontal="left" vertical="center"/>
      <protection/>
    </xf>
    <xf numFmtId="0" fontId="0" fillId="11" borderId="8" xfId="0" applyFill="1" applyBorder="1" applyAlignment="1" applyProtection="1">
      <alignment horizontal="left" vertical="center"/>
      <protection/>
    </xf>
    <xf numFmtId="0" fontId="0" fillId="31" borderId="33" xfId="0" applyFill="1" applyBorder="1" applyAlignment="1">
      <alignment horizontal="center" vertical="center" textRotation="255"/>
    </xf>
    <xf numFmtId="0" fontId="0" fillId="31" borderId="14" xfId="0" applyFill="1" applyBorder="1" applyAlignment="1">
      <alignment horizontal="center" vertical="center" textRotation="255"/>
    </xf>
    <xf numFmtId="0" fontId="0" fillId="31" borderId="54" xfId="0" applyFill="1" applyBorder="1" applyAlignment="1">
      <alignment horizontal="center" vertical="center" textRotation="255"/>
    </xf>
    <xf numFmtId="0" fontId="0" fillId="11" borderId="10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3" fillId="32" borderId="81" xfId="0" applyFont="1" applyFill="1" applyBorder="1" applyAlignment="1" applyProtection="1">
      <alignment horizontal="left" vertical="top" wrapText="1"/>
      <protection/>
    </xf>
    <xf numFmtId="0" fontId="3" fillId="32" borderId="87" xfId="0" applyFont="1" applyFill="1" applyBorder="1" applyAlignment="1" applyProtection="1">
      <alignment horizontal="left" vertical="top" wrapText="1"/>
      <protection/>
    </xf>
    <xf numFmtId="0" fontId="3" fillId="32" borderId="3" xfId="0" applyFont="1" applyFill="1" applyBorder="1" applyAlignment="1" applyProtection="1">
      <alignment horizontal="left" vertical="top" wrapText="1"/>
      <protection/>
    </xf>
    <xf numFmtId="0" fontId="3" fillId="32" borderId="38" xfId="0" applyFont="1" applyFill="1" applyBorder="1" applyAlignment="1" applyProtection="1">
      <alignment horizontal="left" vertical="top" wrapText="1"/>
      <protection/>
    </xf>
    <xf numFmtId="0" fontId="3" fillId="32" borderId="34" xfId="0" applyFont="1" applyFill="1" applyBorder="1" applyAlignment="1" applyProtection="1">
      <alignment horizontal="left" vertical="top" wrapText="1"/>
      <protection/>
    </xf>
    <xf numFmtId="0" fontId="3" fillId="32" borderId="43" xfId="0" applyFont="1" applyFill="1" applyBorder="1" applyAlignment="1" applyProtection="1">
      <alignment horizontal="left" vertical="top" wrapText="1"/>
      <protection/>
    </xf>
    <xf numFmtId="0" fontId="0" fillId="21" borderId="33" xfId="0" applyFill="1" applyBorder="1" applyAlignment="1">
      <alignment horizontal="center" vertical="center" textRotation="255"/>
    </xf>
    <xf numFmtId="0" fontId="0" fillId="21" borderId="14" xfId="0" applyFill="1" applyBorder="1" applyAlignment="1">
      <alignment horizontal="center" vertical="center" textRotation="255"/>
    </xf>
    <xf numFmtId="0" fontId="0" fillId="21" borderId="54" xfId="0" applyFill="1" applyBorder="1" applyAlignment="1">
      <alignment horizontal="center" vertical="center" textRotation="255"/>
    </xf>
    <xf numFmtId="0" fontId="0" fillId="11" borderId="12" xfId="0" applyFill="1" applyBorder="1" applyAlignment="1">
      <alignment horizontal="center" vertical="center" textRotation="255"/>
    </xf>
    <xf numFmtId="0" fontId="0" fillId="32" borderId="33" xfId="0" applyFill="1" applyBorder="1" applyAlignment="1">
      <alignment horizontal="center" vertical="center" textRotation="255"/>
    </xf>
    <xf numFmtId="0" fontId="0" fillId="32" borderId="14" xfId="0" applyFill="1" applyBorder="1" applyAlignment="1">
      <alignment horizontal="center" vertical="center" textRotation="255"/>
    </xf>
    <xf numFmtId="0" fontId="0" fillId="32" borderId="54" xfId="0" applyFill="1" applyBorder="1" applyAlignment="1">
      <alignment horizontal="center" vertical="center" textRotation="255"/>
    </xf>
    <xf numFmtId="0" fontId="0" fillId="28" borderId="4" xfId="0" applyFill="1" applyBorder="1" applyAlignment="1">
      <alignment horizontal="right" vertical="center"/>
    </xf>
    <xf numFmtId="0" fontId="0" fillId="28" borderId="1" xfId="0" applyFill="1" applyBorder="1" applyAlignment="1">
      <alignment horizontal="right" vertical="center"/>
    </xf>
    <xf numFmtId="0" fontId="0" fillId="28" borderId="10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textRotation="255"/>
    </xf>
    <xf numFmtId="0" fontId="0" fillId="4" borderId="55" xfId="0" applyFill="1" applyBorder="1" applyAlignment="1">
      <alignment horizontal="center" vertical="center" textRotation="255"/>
    </xf>
    <xf numFmtId="0" fontId="0" fillId="12" borderId="10" xfId="0" applyFill="1" applyBorder="1" applyAlignment="1">
      <alignment horizontal="left" vertical="center" wrapText="1"/>
    </xf>
    <xf numFmtId="0" fontId="0" fillId="12" borderId="18" xfId="0" applyFill="1" applyBorder="1" applyAlignment="1">
      <alignment horizontal="left" vertical="center" wrapText="1"/>
    </xf>
    <xf numFmtId="0" fontId="3" fillId="21" borderId="89" xfId="0" applyFont="1" applyFill="1" applyBorder="1" applyAlignment="1" applyProtection="1">
      <alignment horizontal="left" vertical="top" wrapText="1"/>
      <protection/>
    </xf>
    <xf numFmtId="0" fontId="3" fillId="21" borderId="90" xfId="0" applyFont="1" applyFill="1" applyBorder="1" applyAlignment="1" applyProtection="1">
      <alignment horizontal="left" vertical="top" wrapText="1"/>
      <protection/>
    </xf>
    <xf numFmtId="0" fontId="3" fillId="21" borderId="91" xfId="0" applyFont="1" applyFill="1" applyBorder="1" applyAlignment="1" applyProtection="1">
      <alignment horizontal="left" vertical="top" wrapText="1"/>
      <protection/>
    </xf>
    <xf numFmtId="0" fontId="3" fillId="21" borderId="3" xfId="0" applyFont="1" applyFill="1" applyBorder="1" applyAlignment="1" applyProtection="1">
      <alignment horizontal="left" vertical="top" wrapText="1"/>
      <protection/>
    </xf>
    <xf numFmtId="0" fontId="3" fillId="21" borderId="0" xfId="0" applyFont="1" applyFill="1" applyBorder="1" applyAlignment="1" applyProtection="1">
      <alignment horizontal="left" vertical="top" wrapText="1"/>
      <protection/>
    </xf>
    <xf numFmtId="0" fontId="3" fillId="21" borderId="38" xfId="0" applyFont="1" applyFill="1" applyBorder="1" applyAlignment="1" applyProtection="1">
      <alignment horizontal="left" vertical="top" wrapText="1"/>
      <protection/>
    </xf>
    <xf numFmtId="0" fontId="3" fillId="21" borderId="34" xfId="0" applyFont="1" applyFill="1" applyBorder="1" applyAlignment="1" applyProtection="1">
      <alignment horizontal="left" vertical="top" wrapText="1"/>
      <protection/>
    </xf>
    <xf numFmtId="0" fontId="3" fillId="21" borderId="29" xfId="0" applyFont="1" applyFill="1" applyBorder="1" applyAlignment="1" applyProtection="1">
      <alignment horizontal="left" vertical="top" wrapText="1"/>
      <protection/>
    </xf>
    <xf numFmtId="0" fontId="3" fillId="21" borderId="43" xfId="0" applyFont="1" applyFill="1" applyBorder="1" applyAlignment="1" applyProtection="1">
      <alignment horizontal="left" vertical="top" wrapText="1"/>
      <protection/>
    </xf>
    <xf numFmtId="0" fontId="0" fillId="12" borderId="14" xfId="0" applyFill="1" applyBorder="1" applyAlignment="1">
      <alignment horizontal="center" vertical="center" textRotation="255"/>
    </xf>
    <xf numFmtId="0" fontId="10" fillId="12" borderId="14" xfId="0" applyFont="1" applyFill="1" applyBorder="1" applyAlignment="1">
      <alignment horizontal="center" vertical="center"/>
    </xf>
    <xf numFmtId="0" fontId="10" fillId="12" borderId="55" xfId="0" applyFont="1" applyFill="1" applyBorder="1" applyAlignment="1">
      <alignment horizontal="center" vertical="center"/>
    </xf>
    <xf numFmtId="0" fontId="0" fillId="12" borderId="55" xfId="0" applyFill="1" applyBorder="1" applyAlignment="1">
      <alignment horizontal="center" vertical="center" textRotation="255"/>
    </xf>
    <xf numFmtId="0" fontId="0" fillId="12" borderId="82" xfId="0" applyFill="1" applyBorder="1" applyAlignment="1">
      <alignment horizontal="center" vertical="center" textRotation="255"/>
    </xf>
    <xf numFmtId="0" fontId="10" fillId="12" borderId="33" xfId="0" applyFont="1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 textRotation="255"/>
    </xf>
    <xf numFmtId="0" fontId="0" fillId="12" borderId="54" xfId="0" applyFill="1" applyBorder="1" applyAlignment="1">
      <alignment horizontal="center" vertical="center" textRotation="255"/>
    </xf>
    <xf numFmtId="0" fontId="10" fillId="12" borderId="82" xfId="0" applyFont="1" applyFill="1" applyBorder="1" applyAlignment="1">
      <alignment horizontal="center" vertical="center"/>
    </xf>
    <xf numFmtId="0" fontId="10" fillId="12" borderId="54" xfId="0" applyFont="1" applyFill="1" applyBorder="1" applyAlignment="1">
      <alignment horizontal="center" vertical="center"/>
    </xf>
    <xf numFmtId="0" fontId="0" fillId="12" borderId="84" xfId="0" applyFill="1" applyBorder="1" applyAlignment="1" applyProtection="1">
      <alignment horizontal="right" vertical="center"/>
      <protection/>
    </xf>
    <xf numFmtId="0" fontId="0" fillId="12" borderId="3" xfId="0" applyFill="1" applyBorder="1" applyAlignment="1" applyProtection="1">
      <alignment horizontal="right" vertical="center"/>
      <protection/>
    </xf>
    <xf numFmtId="0" fontId="0" fillId="12" borderId="4" xfId="0" applyFill="1" applyBorder="1" applyAlignment="1" applyProtection="1">
      <alignment horizontal="right" vertical="center"/>
      <protection/>
    </xf>
    <xf numFmtId="0" fontId="0" fillId="12" borderId="80" xfId="0" applyFill="1" applyBorder="1" applyAlignment="1" applyProtection="1">
      <alignment horizontal="left" vertical="center"/>
      <protection/>
    </xf>
    <xf numFmtId="0" fontId="0" fillId="12" borderId="8" xfId="0" applyFill="1" applyBorder="1" applyAlignment="1" applyProtection="1">
      <alignment horizontal="left" vertical="center"/>
      <protection/>
    </xf>
    <xf numFmtId="0" fontId="0" fillId="12" borderId="9" xfId="0" applyFill="1" applyBorder="1" applyAlignment="1" applyProtection="1">
      <alignment horizontal="left" vertical="center"/>
      <protection/>
    </xf>
    <xf numFmtId="0" fontId="0" fillId="12" borderId="92" xfId="0" applyFill="1" applyBorder="1" applyAlignment="1" applyProtection="1">
      <alignment horizontal="left" vertical="top" wrapText="1"/>
      <protection/>
    </xf>
    <xf numFmtId="0" fontId="0" fillId="12" borderId="53" xfId="0" applyFill="1" applyBorder="1" applyAlignment="1" applyProtection="1">
      <alignment horizontal="left" vertical="top" wrapText="1"/>
      <protection/>
    </xf>
    <xf numFmtId="0" fontId="0" fillId="12" borderId="44" xfId="0" applyFill="1" applyBorder="1" applyAlignment="1" applyProtection="1">
      <alignment horizontal="left" vertical="top" wrapText="1"/>
      <protection/>
    </xf>
    <xf numFmtId="0" fontId="0" fillId="4" borderId="33" xfId="0" applyFill="1" applyBorder="1" applyAlignment="1">
      <alignment horizontal="center" vertical="center" textRotation="255"/>
    </xf>
    <xf numFmtId="0" fontId="0" fillId="4" borderId="82" xfId="0" applyFill="1" applyBorder="1" applyAlignment="1">
      <alignment horizontal="center" vertical="center" textRotation="255"/>
    </xf>
    <xf numFmtId="0" fontId="10" fillId="4" borderId="3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 textRotation="255"/>
    </xf>
    <xf numFmtId="0" fontId="10" fillId="4" borderId="82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right" vertical="center"/>
    </xf>
    <xf numFmtId="0" fontId="0" fillId="4" borderId="26" xfId="0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4" borderId="84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 vertical="center" wrapText="1"/>
    </xf>
    <xf numFmtId="0" fontId="0" fillId="4" borderId="34" xfId="0" applyFill="1" applyBorder="1" applyAlignment="1">
      <alignment horizontal="right" vertical="center" wrapText="1"/>
    </xf>
    <xf numFmtId="0" fontId="0" fillId="4" borderId="82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54" xfId="0" applyFill="1" applyBorder="1" applyAlignment="1" applyProtection="1">
      <alignment horizontal="center" vertical="center"/>
      <protection/>
    </xf>
    <xf numFmtId="0" fontId="0" fillId="4" borderId="83" xfId="0" applyFill="1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0" fillId="4" borderId="75" xfId="0" applyFill="1" applyBorder="1" applyAlignment="1" applyProtection="1">
      <alignment horizontal="center" vertical="center"/>
      <protection/>
    </xf>
    <xf numFmtId="0" fontId="0" fillId="4" borderId="92" xfId="0" applyFill="1" applyBorder="1" applyAlignment="1" applyProtection="1">
      <alignment horizontal="left" vertical="top" wrapText="1"/>
      <protection/>
    </xf>
    <xf numFmtId="0" fontId="0" fillId="4" borderId="53" xfId="0" applyFill="1" applyBorder="1" applyAlignment="1" applyProtection="1">
      <alignment horizontal="left" vertical="top" wrapText="1"/>
      <protection/>
    </xf>
    <xf numFmtId="0" fontId="0" fillId="4" borderId="44" xfId="0" applyFill="1" applyBorder="1" applyAlignment="1" applyProtection="1">
      <alignment horizontal="left" vertical="top" wrapText="1"/>
      <protection/>
    </xf>
    <xf numFmtId="0" fontId="0" fillId="4" borderId="84" xfId="0" applyFill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right" vertical="center"/>
      <protection/>
    </xf>
    <xf numFmtId="0" fontId="0" fillId="4" borderId="4" xfId="0" applyFill="1" applyBorder="1" applyAlignment="1" applyProtection="1">
      <alignment horizontal="right" vertical="center"/>
      <protection/>
    </xf>
    <xf numFmtId="0" fontId="0" fillId="4" borderId="80" xfId="0" applyFill="1" applyBorder="1" applyAlignment="1" applyProtection="1">
      <alignment horizontal="left" vertical="center"/>
      <protection/>
    </xf>
    <xf numFmtId="0" fontId="0" fillId="4" borderId="8" xfId="0" applyFill="1" applyBorder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horizontal="left" vertical="center"/>
      <protection/>
    </xf>
    <xf numFmtId="0" fontId="0" fillId="4" borderId="4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25" borderId="31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4" borderId="81" xfId="0" applyFill="1" applyBorder="1" applyAlignment="1">
      <alignment horizontal="right" vertical="center" wrapText="1"/>
    </xf>
    <xf numFmtId="0" fontId="0" fillId="4" borderId="33" xfId="0" applyFill="1" applyBorder="1" applyAlignment="1" applyProtection="1">
      <alignment horizontal="center" vertical="center"/>
      <protection/>
    </xf>
    <xf numFmtId="0" fontId="0" fillId="4" borderId="76" xfId="0" applyFill="1" applyBorder="1" applyAlignment="1" applyProtection="1">
      <alignment horizontal="center" vertical="center"/>
      <protection/>
    </xf>
    <xf numFmtId="0" fontId="0" fillId="26" borderId="4" xfId="0" applyFill="1" applyBorder="1" applyAlignment="1">
      <alignment horizontal="right" vertical="center"/>
    </xf>
    <xf numFmtId="0" fontId="0" fillId="26" borderId="1" xfId="0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left" vertical="center"/>
    </xf>
    <xf numFmtId="0" fontId="0" fillId="26" borderId="10" xfId="0" applyFill="1" applyBorder="1" applyAlignment="1">
      <alignment horizontal="right" vertical="center"/>
    </xf>
    <xf numFmtId="0" fontId="0" fillId="26" borderId="18" xfId="0" applyFill="1" applyBorder="1" applyAlignment="1">
      <alignment horizontal="right" vertical="center"/>
    </xf>
    <xf numFmtId="0" fontId="0" fillId="28" borderId="10" xfId="0" applyFill="1" applyBorder="1" applyAlignment="1">
      <alignment horizontal="right" vertical="center"/>
    </xf>
    <xf numFmtId="0" fontId="0" fillId="28" borderId="18" xfId="0" applyFill="1" applyBorder="1" applyAlignment="1">
      <alignment horizontal="right" vertical="center"/>
    </xf>
    <xf numFmtId="0" fontId="0" fillId="11" borderId="4" xfId="0" applyFill="1" applyBorder="1" applyAlignment="1">
      <alignment horizontal="right" vertical="center"/>
    </xf>
    <xf numFmtId="0" fontId="0" fillId="11" borderId="1" xfId="0" applyFill="1" applyBorder="1" applyAlignment="1">
      <alignment horizontal="right" vertical="center"/>
    </xf>
    <xf numFmtId="0" fontId="0" fillId="11" borderId="2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28" borderId="41" xfId="0" applyFill="1" applyBorder="1" applyAlignment="1">
      <alignment horizontal="right" vertical="center"/>
    </xf>
    <xf numFmtId="0" fontId="0" fillId="28" borderId="52" xfId="0" applyFill="1" applyBorder="1" applyAlignment="1">
      <alignment horizontal="right" vertical="center"/>
    </xf>
    <xf numFmtId="0" fontId="0" fillId="11" borderId="31" xfId="0" applyFill="1" applyBorder="1" applyAlignment="1">
      <alignment horizontal="right" vertical="center"/>
    </xf>
    <xf numFmtId="0" fontId="0" fillId="11" borderId="24" xfId="0" applyFill="1" applyBorder="1" applyAlignment="1">
      <alignment horizontal="right" vertical="center"/>
    </xf>
    <xf numFmtId="0" fontId="0" fillId="12" borderId="31" xfId="0" applyFill="1" applyBorder="1" applyAlignment="1">
      <alignment horizontal="right" vertical="center"/>
    </xf>
    <xf numFmtId="0" fontId="0" fillId="12" borderId="24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18" borderId="10" xfId="0" applyFill="1" applyBorder="1" applyAlignment="1">
      <alignment horizontal="right" vertical="center"/>
    </xf>
    <xf numFmtId="0" fontId="0" fillId="18" borderId="18" xfId="0" applyFill="1" applyBorder="1" applyAlignment="1">
      <alignment horizontal="right" vertical="center"/>
    </xf>
    <xf numFmtId="0" fontId="0" fillId="20" borderId="4" xfId="0" applyFill="1" applyBorder="1" applyAlignment="1">
      <alignment horizontal="right" vertical="center"/>
    </xf>
    <xf numFmtId="0" fontId="0" fillId="20" borderId="1" xfId="0" applyFill="1" applyBorder="1" applyAlignment="1">
      <alignment horizontal="right" vertical="center"/>
    </xf>
    <xf numFmtId="0" fontId="0" fillId="11" borderId="10" xfId="0" applyFill="1" applyBorder="1" applyAlignment="1">
      <alignment horizontal="left" vertical="center" wrapText="1"/>
    </xf>
    <xf numFmtId="0" fontId="0" fillId="11" borderId="18" xfId="0" applyFill="1" applyBorder="1" applyAlignment="1">
      <alignment horizontal="left" vertical="center" wrapText="1"/>
    </xf>
    <xf numFmtId="0" fontId="0" fillId="20" borderId="25" xfId="0" applyFill="1" applyBorder="1" applyAlignment="1">
      <alignment horizontal="left" vertical="center" wrapText="1"/>
    </xf>
    <xf numFmtId="0" fontId="0" fillId="20" borderId="26" xfId="0" applyFill="1" applyBorder="1" applyAlignment="1">
      <alignment horizontal="left" vertical="center" wrapText="1"/>
    </xf>
    <xf numFmtId="0" fontId="0" fillId="20" borderId="27" xfId="0" applyFill="1" applyBorder="1" applyAlignment="1">
      <alignment horizontal="left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left" vertical="center" wrapText="1"/>
    </xf>
    <xf numFmtId="0" fontId="0" fillId="11" borderId="26" xfId="0" applyFill="1" applyBorder="1" applyAlignment="1">
      <alignment horizontal="left" vertical="center" wrapText="1"/>
    </xf>
    <xf numFmtId="0" fontId="0" fillId="11" borderId="27" xfId="0" applyFill="1" applyBorder="1" applyAlignment="1">
      <alignment horizontal="left" vertical="center" wrapText="1"/>
    </xf>
    <xf numFmtId="0" fontId="0" fillId="12" borderId="4" xfId="0" applyFill="1" applyBorder="1" applyAlignment="1">
      <alignment horizontal="right" vertical="center"/>
    </xf>
    <xf numFmtId="0" fontId="0" fillId="12" borderId="1" xfId="0" applyFill="1" applyBorder="1" applyAlignment="1">
      <alignment horizontal="right" vertical="center"/>
    </xf>
    <xf numFmtId="0" fontId="0" fillId="27" borderId="10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41" xfId="0" applyFill="1" applyBorder="1" applyAlignment="1">
      <alignment horizontal="right" vertical="center"/>
    </xf>
    <xf numFmtId="0" fontId="0" fillId="27" borderId="52" xfId="0" applyFill="1" applyBorder="1" applyAlignment="1">
      <alignment horizontal="right" vertical="center"/>
    </xf>
    <xf numFmtId="0" fontId="0" fillId="27" borderId="10" xfId="0" applyFill="1" applyBorder="1" applyAlignment="1">
      <alignment horizontal="right" vertical="center"/>
    </xf>
    <xf numFmtId="0" fontId="0" fillId="27" borderId="18" xfId="0" applyFill="1" applyBorder="1" applyAlignment="1">
      <alignment horizontal="right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10" fillId="4" borderId="84" xfId="0" applyFont="1" applyFill="1" applyBorder="1" applyAlignment="1">
      <alignment horizontal="center" vertical="center" textRotation="255"/>
    </xf>
    <xf numFmtId="0" fontId="10" fillId="4" borderId="3" xfId="0" applyFont="1" applyFill="1" applyBorder="1" applyAlignment="1">
      <alignment horizontal="center" vertical="center" textRotation="255"/>
    </xf>
    <xf numFmtId="0" fontId="0" fillId="4" borderId="5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88" xfId="0" applyFill="1" applyBorder="1" applyAlignment="1">
      <alignment horizontal="left" vertical="center"/>
    </xf>
    <xf numFmtId="0" fontId="0" fillId="2" borderId="31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10" fillId="20" borderId="84" xfId="0" applyFont="1" applyFill="1" applyBorder="1" applyAlignment="1">
      <alignment horizontal="center" vertical="center" textRotation="255"/>
    </xf>
    <xf numFmtId="0" fontId="10" fillId="20" borderId="3" xfId="0" applyFont="1" applyFill="1" applyBorder="1" applyAlignment="1">
      <alignment horizontal="center" vertical="center" textRotation="255"/>
    </xf>
    <xf numFmtId="0" fontId="10" fillId="20" borderId="4" xfId="0" applyFont="1" applyFill="1" applyBorder="1" applyAlignment="1">
      <alignment horizontal="center" vertical="center" textRotation="255"/>
    </xf>
    <xf numFmtId="0" fontId="0" fillId="25" borderId="2" xfId="0" applyFill="1" applyBorder="1" applyAlignment="1">
      <alignment horizontal="center" vertical="center"/>
    </xf>
    <xf numFmtId="0" fontId="0" fillId="20" borderId="37" xfId="0" applyFill="1" applyBorder="1" applyAlignment="1">
      <alignment horizontal="left" vertical="center"/>
    </xf>
    <xf numFmtId="0" fontId="0" fillId="20" borderId="93" xfId="0" applyFill="1" applyBorder="1" applyAlignment="1">
      <alignment horizontal="left" vertical="center"/>
    </xf>
    <xf numFmtId="0" fontId="0" fillId="20" borderId="5" xfId="0" applyFill="1" applyBorder="1" applyAlignment="1">
      <alignment horizontal="left" vertical="top" wrapText="1"/>
    </xf>
    <xf numFmtId="0" fontId="0" fillId="20" borderId="7" xfId="0" applyFill="1" applyBorder="1" applyAlignment="1">
      <alignment horizontal="left" vertical="top" wrapText="1"/>
    </xf>
    <xf numFmtId="0" fontId="0" fillId="20" borderId="4" xfId="0" applyFill="1" applyBorder="1" applyAlignment="1">
      <alignment horizontal="left" vertical="top" wrapText="1"/>
    </xf>
    <xf numFmtId="0" fontId="0" fillId="20" borderId="9" xfId="0" applyFill="1" applyBorder="1" applyAlignment="1">
      <alignment horizontal="left" vertical="top" wrapText="1"/>
    </xf>
    <xf numFmtId="0" fontId="0" fillId="25" borderId="37" xfId="0" applyFill="1" applyBorder="1" applyAlignment="1">
      <alignment horizontal="center" vertical="center"/>
    </xf>
    <xf numFmtId="0" fontId="0" fillId="25" borderId="93" xfId="0" applyFill="1" applyBorder="1" applyAlignment="1">
      <alignment horizontal="center" vertical="center"/>
    </xf>
    <xf numFmtId="0" fontId="0" fillId="20" borderId="76" xfId="0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horizontal="center" vertical="center"/>
      <protection/>
    </xf>
    <xf numFmtId="0" fontId="0" fillId="20" borderId="94" xfId="0" applyFill="1" applyBorder="1" applyAlignment="1" applyProtection="1">
      <alignment horizontal="left" vertical="center" wrapText="1"/>
      <protection/>
    </xf>
    <xf numFmtId="0" fontId="0" fillId="20" borderId="1" xfId="0" applyFill="1" applyBorder="1" applyAlignment="1" applyProtection="1">
      <alignment horizontal="left" vertical="center" wrapText="1"/>
      <protection/>
    </xf>
    <xf numFmtId="0" fontId="0" fillId="20" borderId="81" xfId="0" applyFill="1" applyBorder="1" applyAlignment="1" applyProtection="1">
      <alignment horizontal="right" vertical="center"/>
      <protection/>
    </xf>
    <xf numFmtId="0" fontId="0" fillId="20" borderId="19" xfId="0" applyFill="1" applyBorder="1" applyAlignment="1" applyProtection="1">
      <alignment horizontal="left" vertical="center"/>
      <protection/>
    </xf>
    <xf numFmtId="0" fontId="0" fillId="20" borderId="20" xfId="0" applyFill="1" applyBorder="1" applyAlignment="1" applyProtection="1">
      <alignment horizontal="left" vertical="top" wrapText="1"/>
      <protection/>
    </xf>
    <xf numFmtId="0" fontId="0" fillId="20" borderId="36" xfId="0" applyFill="1" applyBorder="1" applyAlignment="1" applyProtection="1">
      <alignment horizontal="left" vertical="top" wrapText="1"/>
      <protection/>
    </xf>
    <xf numFmtId="0" fontId="0" fillId="20" borderId="22" xfId="0" applyFill="1" applyBorder="1" applyAlignment="1" applyProtection="1">
      <alignment horizontal="left" vertical="center" wrapText="1"/>
      <protection/>
    </xf>
    <xf numFmtId="0" fontId="0" fillId="20" borderId="95" xfId="0" applyFill="1" applyBorder="1" applyAlignment="1" applyProtection="1">
      <alignment horizontal="left" vertical="center" wrapText="1"/>
      <protection/>
    </xf>
    <xf numFmtId="0" fontId="0" fillId="20" borderId="34" xfId="0" applyFill="1" applyBorder="1" applyAlignment="1" applyProtection="1">
      <alignment horizontal="right" vertical="center"/>
      <protection/>
    </xf>
    <xf numFmtId="0" fontId="0" fillId="20" borderId="30" xfId="0" applyFill="1" applyBorder="1" applyAlignment="1" applyProtection="1">
      <alignment horizontal="left" vertical="center"/>
      <protection/>
    </xf>
    <xf numFmtId="0" fontId="0" fillId="20" borderId="44" xfId="0" applyFill="1" applyBorder="1" applyAlignment="1" applyProtection="1">
      <alignment horizontal="left" vertical="top" wrapText="1"/>
      <protection/>
    </xf>
    <xf numFmtId="0" fontId="0" fillId="20" borderId="7" xfId="0" applyFill="1" applyBorder="1" applyAlignment="1">
      <alignment horizontal="left" vertical="center"/>
    </xf>
    <xf numFmtId="0" fontId="0" fillId="20" borderId="9" xfId="0" applyFill="1" applyBorder="1" applyAlignment="1">
      <alignment horizontal="left" vertical="center"/>
    </xf>
    <xf numFmtId="0" fontId="0" fillId="20" borderId="20" xfId="0" applyFill="1" applyBorder="1" applyAlignment="1" applyProtection="1">
      <alignment horizontal="left" vertical="center" wrapText="1"/>
      <protection/>
    </xf>
    <xf numFmtId="0" fontId="0" fillId="20" borderId="36" xfId="0" applyFill="1" applyBorder="1" applyAlignment="1" applyProtection="1">
      <alignment horizontal="left" vertical="center" wrapText="1"/>
      <protection/>
    </xf>
    <xf numFmtId="0" fontId="0" fillId="25" borderId="5" xfId="0" applyFill="1" applyBorder="1" applyAlignment="1" applyProtection="1">
      <alignment horizontal="center" vertical="center"/>
      <protection/>
    </xf>
    <xf numFmtId="0" fontId="0" fillId="25" borderId="7" xfId="0" applyFill="1" applyBorder="1" applyAlignment="1" applyProtection="1">
      <alignment horizontal="center" vertical="center"/>
      <protection/>
    </xf>
    <xf numFmtId="0" fontId="0" fillId="25" borderId="34" xfId="0" applyFill="1" applyBorder="1" applyAlignment="1" applyProtection="1">
      <alignment horizontal="center" vertical="center"/>
      <protection/>
    </xf>
    <xf numFmtId="0" fontId="0" fillId="25" borderId="30" xfId="0" applyFill="1" applyBorder="1" applyAlignment="1" applyProtection="1">
      <alignment horizontal="center" vertical="center"/>
      <protection/>
    </xf>
    <xf numFmtId="0" fontId="0" fillId="20" borderId="25" xfId="0" applyFill="1" applyBorder="1" applyAlignment="1">
      <alignment horizontal="right" vertical="center" wrapText="1"/>
    </xf>
    <xf numFmtId="0" fontId="0" fillId="20" borderId="39" xfId="0" applyFill="1" applyBorder="1" applyAlignment="1" applyProtection="1">
      <alignment horizontal="center" vertical="center"/>
      <protection/>
    </xf>
    <xf numFmtId="0" fontId="0" fillId="20" borderId="25" xfId="0" applyFill="1" applyBorder="1" applyAlignment="1" applyProtection="1">
      <alignment horizontal="center" vertical="center"/>
      <protection/>
    </xf>
    <xf numFmtId="0" fontId="0" fillId="20" borderId="96" xfId="0" applyFill="1" applyBorder="1" applyAlignment="1" applyProtection="1">
      <alignment horizontal="left" vertical="center" wrapText="1"/>
      <protection/>
    </xf>
    <xf numFmtId="0" fontId="0" fillId="20" borderId="19" xfId="0" applyFill="1" applyBorder="1" applyAlignment="1">
      <alignment horizontal="left" vertical="center"/>
    </xf>
    <xf numFmtId="0" fontId="0" fillId="20" borderId="96" xfId="0" applyFill="1" applyBorder="1" applyAlignment="1" applyProtection="1">
      <alignment horizontal="left" vertical="top" wrapText="1"/>
      <protection/>
    </xf>
    <xf numFmtId="0" fontId="0" fillId="20" borderId="23" xfId="0" applyFill="1" applyBorder="1" applyAlignment="1" applyProtection="1">
      <alignment horizontal="left" vertical="top" wrapText="1"/>
      <protection/>
    </xf>
    <xf numFmtId="0" fontId="0" fillId="20" borderId="95" xfId="0" applyFill="1" applyBorder="1" applyAlignment="1" applyProtection="1">
      <alignment horizontal="left" vertical="top" wrapText="1"/>
      <protection/>
    </xf>
    <xf numFmtId="0" fontId="0" fillId="20" borderId="3" xfId="0" applyFill="1" applyBorder="1" applyAlignment="1" applyProtection="1">
      <alignment horizontal="right" vertical="center"/>
      <protection/>
    </xf>
    <xf numFmtId="0" fontId="0" fillId="20" borderId="53" xfId="0" applyFill="1" applyBorder="1" applyAlignment="1" applyProtection="1">
      <alignment horizontal="left" vertical="top" wrapText="1"/>
      <protection/>
    </xf>
    <xf numFmtId="0" fontId="3" fillId="2" borderId="12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0" fillId="20" borderId="5" xfId="0" applyFill="1" applyBorder="1" applyAlignment="1">
      <alignment horizontal="right" vertical="center" wrapText="1"/>
    </xf>
    <xf numFmtId="0" fontId="0" fillId="20" borderId="4" xfId="0" applyFill="1" applyBorder="1" applyAlignment="1">
      <alignment horizontal="right" vertical="center" wrapText="1"/>
    </xf>
    <xf numFmtId="0" fontId="0" fillId="20" borderId="33" xfId="0" applyFill="1" applyBorder="1" applyAlignment="1" applyProtection="1">
      <alignment horizontal="center" vertical="center"/>
      <protection/>
    </xf>
    <xf numFmtId="0" fontId="0" fillId="20" borderId="16" xfId="0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>
      <alignment horizontal="left" vertical="top" wrapText="1"/>
    </xf>
    <xf numFmtId="0" fontId="0" fillId="20" borderId="84" xfId="0" applyFill="1" applyBorder="1" applyAlignment="1" applyProtection="1">
      <alignment horizontal="right" vertical="center"/>
      <protection/>
    </xf>
    <xf numFmtId="0" fontId="0" fillId="20" borderId="8" xfId="0" applyFill="1" applyBorder="1" applyAlignment="1" applyProtection="1">
      <alignment vertical="center"/>
      <protection/>
    </xf>
    <xf numFmtId="0" fontId="0" fillId="20" borderId="9" xfId="0" applyFill="1" applyBorder="1" applyAlignment="1" applyProtection="1">
      <alignment vertical="center"/>
      <protection/>
    </xf>
    <xf numFmtId="0" fontId="0" fillId="20" borderId="92" xfId="0" applyFill="1" applyBorder="1" applyAlignment="1" applyProtection="1">
      <alignment horizontal="left" vertical="top" wrapText="1"/>
      <protection/>
    </xf>
    <xf numFmtId="0" fontId="0" fillId="29" borderId="41" xfId="0" applyFill="1" applyBorder="1" applyAlignment="1">
      <alignment horizontal="right" vertical="center"/>
    </xf>
    <xf numFmtId="0" fontId="0" fillId="29" borderId="52" xfId="0" applyFill="1" applyBorder="1" applyAlignment="1">
      <alignment horizontal="right" vertical="center"/>
    </xf>
    <xf numFmtId="0" fontId="0" fillId="20" borderId="40" xfId="0" applyFill="1" applyBorder="1" applyAlignment="1">
      <alignment horizontal="right" vertical="center" wrapText="1"/>
    </xf>
    <xf numFmtId="0" fontId="0" fillId="20" borderId="19" xfId="0" applyFill="1" applyBorder="1" applyAlignment="1">
      <alignment horizontal="left" vertical="center" wrapText="1"/>
    </xf>
    <xf numFmtId="0" fontId="0" fillId="20" borderId="8" xfId="0" applyFill="1" applyBorder="1" applyAlignment="1">
      <alignment horizontal="left" vertical="center" wrapText="1"/>
    </xf>
    <xf numFmtId="0" fontId="0" fillId="20" borderId="55" xfId="0" applyFill="1" applyBorder="1" applyAlignment="1" applyProtection="1">
      <alignment horizontal="center" vertical="center"/>
      <protection/>
    </xf>
    <xf numFmtId="0" fontId="0" fillId="20" borderId="97" xfId="0" applyFill="1" applyBorder="1" applyAlignment="1" applyProtection="1">
      <alignment horizontal="center" vertical="center"/>
      <protection/>
    </xf>
    <xf numFmtId="0" fontId="0" fillId="20" borderId="3" xfId="0" applyFill="1" applyBorder="1" applyAlignment="1" applyProtection="1">
      <alignment horizontal="center" vertical="center"/>
      <protection/>
    </xf>
    <xf numFmtId="0" fontId="0" fillId="20" borderId="51" xfId="0" applyFill="1" applyBorder="1" applyAlignment="1">
      <alignment horizontal="left" vertical="center" wrapText="1"/>
    </xf>
    <xf numFmtId="0" fontId="0" fillId="20" borderId="98" xfId="0" applyFill="1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horizontal="center" vertical="center"/>
      <protection/>
    </xf>
    <xf numFmtId="0" fontId="0" fillId="20" borderId="30" xfId="0" applyFill="1" applyBorder="1" applyAlignment="1">
      <alignment horizontal="left" vertical="center"/>
    </xf>
    <xf numFmtId="0" fontId="0" fillId="20" borderId="99" xfId="0" applyFill="1" applyBorder="1" applyAlignment="1" applyProtection="1">
      <alignment horizontal="center" vertical="center"/>
      <protection/>
    </xf>
    <xf numFmtId="0" fontId="0" fillId="20" borderId="88" xfId="0" applyFill="1" applyBorder="1" applyAlignment="1" applyProtection="1">
      <alignment horizontal="left" vertical="top" wrapText="1"/>
      <protection/>
    </xf>
    <xf numFmtId="0" fontId="0" fillId="20" borderId="30" xfId="0" applyFill="1" applyBorder="1" applyAlignment="1">
      <alignment horizontal="left" vertical="center" wrapText="1"/>
    </xf>
    <xf numFmtId="0" fontId="0" fillId="29" borderId="25" xfId="0" applyFill="1" applyBorder="1" applyAlignment="1">
      <alignment horizontal="right" vertical="center"/>
    </xf>
    <xf numFmtId="0" fontId="0" fillId="29" borderId="26" xfId="0" applyFill="1" applyBorder="1" applyAlignment="1">
      <alignment horizontal="right" vertical="center"/>
    </xf>
    <xf numFmtId="0" fontId="0" fillId="20" borderId="44" xfId="0" applyFill="1" applyBorder="1" applyAlignment="1">
      <alignment horizontal="left" vertical="top" wrapText="1"/>
    </xf>
    <xf numFmtId="0" fontId="0" fillId="20" borderId="12" xfId="0" applyFill="1" applyBorder="1" applyAlignment="1">
      <alignment horizontal="center" vertical="center" textRotation="255"/>
    </xf>
    <xf numFmtId="0" fontId="0" fillId="29" borderId="4" xfId="0" applyFont="1" applyFill="1" applyBorder="1" applyAlignment="1">
      <alignment horizontal="left" vertical="center"/>
    </xf>
    <xf numFmtId="0" fontId="0" fillId="29" borderId="1" xfId="0" applyFont="1" applyFill="1" applyBorder="1" applyAlignment="1">
      <alignment horizontal="left" vertical="center"/>
    </xf>
    <xf numFmtId="0" fontId="0" fillId="29" borderId="9" xfId="0" applyFont="1" applyFill="1" applyBorder="1" applyAlignment="1">
      <alignment horizontal="left" vertical="center"/>
    </xf>
    <xf numFmtId="0" fontId="0" fillId="29" borderId="10" xfId="0" applyFont="1" applyFill="1" applyBorder="1" applyAlignment="1">
      <alignment horizontal="left" vertical="center"/>
    </xf>
    <xf numFmtId="0" fontId="0" fillId="29" borderId="18" xfId="0" applyFont="1" applyFill="1" applyBorder="1" applyAlignment="1">
      <alignment horizontal="left" vertical="center"/>
    </xf>
    <xf numFmtId="0" fontId="0" fillId="29" borderId="11" xfId="0" applyFont="1" applyFill="1" applyBorder="1" applyAlignment="1">
      <alignment horizontal="left" vertical="center"/>
    </xf>
    <xf numFmtId="0" fontId="0" fillId="11" borderId="9" xfId="0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>
      <alignment horizontal="left" vertical="center"/>
    </xf>
    <xf numFmtId="0" fontId="0" fillId="20" borderId="18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5" xfId="0" applyFont="1" applyFill="1" applyBorder="1" applyAlignment="1">
      <alignment horizontal="left" vertical="center"/>
    </xf>
    <xf numFmtId="0" fontId="0" fillId="20" borderId="2" xfId="0" applyFont="1" applyFill="1" applyBorder="1" applyAlignment="1">
      <alignment horizontal="left" vertical="center"/>
    </xf>
    <xf numFmtId="0" fontId="0" fillId="20" borderId="7" xfId="0" applyFont="1" applyFill="1" applyBorder="1" applyAlignment="1">
      <alignment horizontal="left" vertical="center"/>
    </xf>
    <xf numFmtId="0" fontId="0" fillId="11" borderId="5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22" xfId="0" applyFill="1" applyBorder="1" applyAlignment="1" applyProtection="1">
      <alignment horizontal="left" vertical="center" wrapText="1"/>
      <protection/>
    </xf>
    <xf numFmtId="0" fontId="0" fillId="11" borderId="95" xfId="0" applyFill="1" applyBorder="1" applyAlignment="1" applyProtection="1">
      <alignment horizontal="left" vertical="center" wrapText="1"/>
      <protection/>
    </xf>
    <xf numFmtId="0" fontId="0" fillId="11" borderId="10" xfId="0" applyFill="1" applyBorder="1" applyAlignment="1">
      <alignment horizontal="right" vertical="center" wrapText="1"/>
    </xf>
    <xf numFmtId="0" fontId="0" fillId="11" borderId="31" xfId="0" applyFill="1" applyBorder="1" applyAlignment="1">
      <alignment horizontal="right" vertical="center" wrapText="1"/>
    </xf>
    <xf numFmtId="0" fontId="0" fillId="11" borderId="6" xfId="0" applyFill="1" applyBorder="1" applyAlignment="1" applyProtection="1">
      <alignment horizontal="center" vertical="center"/>
      <protection/>
    </xf>
    <xf numFmtId="0" fontId="0" fillId="11" borderId="86" xfId="0" applyFill="1" applyBorder="1" applyAlignment="1" applyProtection="1">
      <alignment horizontal="center" vertical="center"/>
      <protection/>
    </xf>
    <xf numFmtId="0" fontId="0" fillId="11" borderId="20" xfId="0" applyFill="1" applyBorder="1" applyAlignment="1" applyProtection="1">
      <alignment horizontal="left" vertical="top" wrapText="1"/>
      <protection/>
    </xf>
    <xf numFmtId="0" fontId="0" fillId="11" borderId="36" xfId="0" applyFill="1" applyBorder="1" applyAlignment="1" applyProtection="1">
      <alignment horizontal="left" vertical="top" wrapText="1"/>
      <protection/>
    </xf>
    <xf numFmtId="0" fontId="0" fillId="11" borderId="10" xfId="0" applyFill="1" applyBorder="1" applyAlignment="1" applyProtection="1">
      <alignment horizontal="center" vertical="center"/>
      <protection/>
    </xf>
    <xf numFmtId="0" fontId="0" fillId="11" borderId="7" xfId="0" applyFill="1" applyBorder="1" applyAlignment="1" applyProtection="1">
      <alignment horizontal="left" vertical="center"/>
      <protection/>
    </xf>
    <xf numFmtId="0" fontId="0" fillId="11" borderId="30" xfId="0" applyFill="1" applyBorder="1" applyAlignment="1" applyProtection="1">
      <alignment horizontal="left" vertical="center"/>
      <protection/>
    </xf>
    <xf numFmtId="0" fontId="0" fillId="11" borderId="5" xfId="0" applyFill="1" applyBorder="1" applyAlignment="1" applyProtection="1">
      <alignment horizontal="right" vertical="center"/>
      <protection/>
    </xf>
    <xf numFmtId="0" fontId="0" fillId="11" borderId="34" xfId="0" applyFill="1" applyBorder="1" applyAlignment="1" applyProtection="1">
      <alignment horizontal="right" vertical="center"/>
      <protection/>
    </xf>
    <xf numFmtId="0" fontId="0" fillId="11" borderId="40" xfId="0" applyFill="1" applyBorder="1" applyAlignment="1">
      <alignment horizontal="right" vertical="center" wrapText="1"/>
    </xf>
    <xf numFmtId="0" fontId="0" fillId="11" borderId="16" xfId="0" applyFill="1" applyBorder="1" applyAlignment="1" applyProtection="1">
      <alignment horizontal="center" vertical="center"/>
      <protection/>
    </xf>
    <xf numFmtId="0" fontId="0" fillId="11" borderId="17" xfId="0" applyFill="1" applyBorder="1" applyAlignment="1" applyProtection="1">
      <alignment horizontal="center" vertical="center"/>
      <protection/>
    </xf>
    <xf numFmtId="0" fontId="0" fillId="11" borderId="5" xfId="0" applyFill="1" applyBorder="1" applyAlignment="1" applyProtection="1">
      <alignment horizontal="center" vertical="center"/>
      <protection/>
    </xf>
    <xf numFmtId="0" fontId="0" fillId="11" borderId="96" xfId="0" applyFill="1" applyBorder="1" applyAlignment="1" applyProtection="1">
      <alignment horizontal="left" vertical="center" wrapText="1"/>
      <protection/>
    </xf>
    <xf numFmtId="0" fontId="0" fillId="11" borderId="4" xfId="0" applyFill="1" applyBorder="1" applyAlignment="1" applyProtection="1">
      <alignment horizontal="right" vertical="center"/>
      <protection/>
    </xf>
    <xf numFmtId="0" fontId="0" fillId="11" borderId="39" xfId="0" applyFill="1" applyBorder="1" applyAlignment="1" applyProtection="1">
      <alignment horizontal="center" vertical="center"/>
      <protection/>
    </xf>
    <xf numFmtId="0" fontId="0" fillId="11" borderId="25" xfId="0" applyFill="1" applyBorder="1" applyAlignment="1" applyProtection="1">
      <alignment horizontal="center" vertical="center"/>
      <protection/>
    </xf>
    <xf numFmtId="0" fontId="0" fillId="11" borderId="44" xfId="0" applyFill="1" applyBorder="1" applyAlignment="1" applyProtection="1">
      <alignment horizontal="left" vertical="top" wrapText="1"/>
      <protection/>
    </xf>
    <xf numFmtId="0" fontId="0" fillId="11" borderId="25" xfId="0" applyFill="1" applyBorder="1" applyAlignment="1">
      <alignment horizontal="right" vertical="center" wrapText="1"/>
    </xf>
    <xf numFmtId="0" fontId="0" fillId="11" borderId="20" xfId="0" applyFill="1" applyBorder="1" applyAlignment="1" applyProtection="1">
      <alignment horizontal="left" vertical="center" wrapText="1"/>
      <protection/>
    </xf>
    <xf numFmtId="0" fontId="0" fillId="11" borderId="36" xfId="0" applyFill="1" applyBorder="1" applyAlignment="1" applyProtection="1">
      <alignment horizontal="left" vertical="center" wrapText="1"/>
      <protection/>
    </xf>
    <xf numFmtId="0" fontId="0" fillId="17" borderId="5" xfId="0" applyFill="1" applyBorder="1" applyAlignment="1" applyProtection="1">
      <alignment horizontal="center" vertical="center"/>
      <protection/>
    </xf>
    <xf numFmtId="0" fontId="0" fillId="17" borderId="7" xfId="0" applyFill="1" applyBorder="1" applyAlignment="1" applyProtection="1">
      <alignment horizontal="center" vertical="center"/>
      <protection/>
    </xf>
    <xf numFmtId="0" fontId="0" fillId="17" borderId="34" xfId="0" applyFill="1" applyBorder="1" applyAlignment="1" applyProtection="1">
      <alignment horizontal="center" vertical="center"/>
      <protection/>
    </xf>
    <xf numFmtId="0" fontId="0" fillId="17" borderId="30" xfId="0" applyFill="1" applyBorder="1" applyAlignment="1" applyProtection="1">
      <alignment horizontal="center" vertical="center"/>
      <protection/>
    </xf>
    <xf numFmtId="0" fontId="0" fillId="11" borderId="5" xfId="0" applyFill="1" applyBorder="1" applyAlignment="1">
      <alignment horizontal="right" vertical="center" wrapText="1"/>
    </xf>
    <xf numFmtId="0" fontId="0" fillId="11" borderId="96" xfId="0" applyFill="1" applyBorder="1" applyAlignment="1" applyProtection="1">
      <alignment horizontal="left" vertical="top" wrapText="1"/>
      <protection/>
    </xf>
    <xf numFmtId="0" fontId="0" fillId="11" borderId="23" xfId="0" applyFill="1" applyBorder="1" applyAlignment="1" applyProtection="1">
      <alignment horizontal="left" vertical="top" wrapText="1"/>
      <protection/>
    </xf>
    <xf numFmtId="0" fontId="0" fillId="11" borderId="95" xfId="0" applyFill="1" applyBorder="1" applyAlignment="1" applyProtection="1">
      <alignment horizontal="left" vertical="top" wrapText="1"/>
      <protection/>
    </xf>
    <xf numFmtId="0" fontId="0" fillId="12" borderId="5" xfId="0" applyFill="1" applyBorder="1" applyAlignment="1" applyProtection="1">
      <alignment horizontal="right" vertical="center"/>
      <protection/>
    </xf>
    <xf numFmtId="0" fontId="0" fillId="12" borderId="7" xfId="0" applyFill="1" applyBorder="1" applyAlignment="1" applyProtection="1">
      <alignment horizontal="left" vertical="center"/>
      <protection/>
    </xf>
    <xf numFmtId="0" fontId="0" fillId="12" borderId="76" xfId="0" applyFill="1" applyBorder="1" applyAlignment="1" applyProtection="1">
      <alignment horizontal="center" vertical="center"/>
      <protection/>
    </xf>
    <xf numFmtId="0" fontId="0" fillId="12" borderId="17" xfId="0" applyFill="1" applyBorder="1" applyAlignment="1" applyProtection="1">
      <alignment horizontal="center" vertical="center"/>
      <protection/>
    </xf>
    <xf numFmtId="0" fontId="0" fillId="12" borderId="94" xfId="0" applyFill="1" applyBorder="1" applyAlignment="1" applyProtection="1">
      <alignment horizontal="left" vertical="center" wrapText="1"/>
      <protection/>
    </xf>
    <xf numFmtId="0" fontId="0" fillId="12" borderId="1" xfId="0" applyFill="1" applyBorder="1" applyAlignment="1" applyProtection="1">
      <alignment horizontal="left" vertical="center" wrapText="1"/>
      <protection/>
    </xf>
    <xf numFmtId="0" fontId="0" fillId="12" borderId="81" xfId="0" applyFill="1" applyBorder="1" applyAlignment="1" applyProtection="1">
      <alignment horizontal="right" vertical="center"/>
      <protection/>
    </xf>
    <xf numFmtId="0" fontId="0" fillId="12" borderId="19" xfId="0" applyFill="1" applyBorder="1" applyAlignment="1" applyProtection="1">
      <alignment horizontal="left" vertical="center"/>
      <protection/>
    </xf>
    <xf numFmtId="0" fontId="0" fillId="12" borderId="31" xfId="0" applyFill="1" applyBorder="1" applyAlignment="1">
      <alignment horizontal="right" vertical="center" wrapText="1"/>
    </xf>
    <xf numFmtId="0" fontId="0" fillId="12" borderId="6" xfId="0" applyFill="1" applyBorder="1" applyAlignment="1" applyProtection="1">
      <alignment horizontal="center" vertical="center"/>
      <protection/>
    </xf>
    <xf numFmtId="0" fontId="0" fillId="12" borderId="86" xfId="0" applyFill="1" applyBorder="1" applyAlignment="1" applyProtection="1">
      <alignment horizontal="center" vertical="center"/>
      <protection/>
    </xf>
    <xf numFmtId="0" fontId="0" fillId="12" borderId="10" xfId="0" applyFill="1" applyBorder="1" applyAlignment="1" applyProtection="1">
      <alignment horizontal="center" vertical="center"/>
      <protection/>
    </xf>
    <xf numFmtId="0" fontId="0" fillId="12" borderId="5" xfId="0" applyFill="1" applyBorder="1" applyAlignment="1" applyProtection="1">
      <alignment horizontal="center" vertical="center"/>
      <protection/>
    </xf>
    <xf numFmtId="0" fontId="0" fillId="12" borderId="20" xfId="0" applyFill="1" applyBorder="1" applyAlignment="1" applyProtection="1">
      <alignment horizontal="left" vertical="top" wrapText="1"/>
      <protection/>
    </xf>
    <xf numFmtId="0" fontId="0" fillId="12" borderId="36" xfId="0" applyFill="1" applyBorder="1" applyAlignment="1" applyProtection="1">
      <alignment horizontal="left" vertical="top" wrapText="1"/>
      <protection/>
    </xf>
    <xf numFmtId="0" fontId="0" fillId="12" borderId="34" xfId="0" applyFill="1" applyBorder="1" applyAlignment="1" applyProtection="1">
      <alignment horizontal="right" vertical="center"/>
      <protection/>
    </xf>
    <xf numFmtId="0" fontId="0" fillId="12" borderId="30" xfId="0" applyFill="1" applyBorder="1" applyAlignment="1" applyProtection="1">
      <alignment horizontal="left" vertical="center"/>
      <protection/>
    </xf>
    <xf numFmtId="0" fontId="0" fillId="12" borderId="22" xfId="0" applyFill="1" applyBorder="1" applyAlignment="1" applyProtection="1">
      <alignment horizontal="left" vertical="center" wrapText="1"/>
      <protection/>
    </xf>
    <xf numFmtId="0" fontId="0" fillId="12" borderId="95" xfId="0" applyFill="1" applyBorder="1" applyAlignment="1" applyProtection="1">
      <alignment horizontal="left" vertical="center" wrapText="1"/>
      <protection/>
    </xf>
    <xf numFmtId="0" fontId="0" fillId="12" borderId="20" xfId="0" applyFill="1" applyBorder="1" applyAlignment="1" applyProtection="1">
      <alignment horizontal="left" vertical="center" wrapText="1"/>
      <protection/>
    </xf>
    <xf numFmtId="0" fontId="0" fillId="12" borderId="36" xfId="0" applyFill="1" applyBorder="1" applyAlignment="1" applyProtection="1">
      <alignment horizontal="left" vertical="center" wrapText="1"/>
      <protection/>
    </xf>
    <xf numFmtId="0" fontId="0" fillId="12" borderId="96" xfId="0" applyFill="1" applyBorder="1" applyAlignment="1" applyProtection="1">
      <alignment horizontal="left" vertical="center" wrapText="1"/>
      <protection/>
    </xf>
    <xf numFmtId="0" fontId="0" fillId="12" borderId="25" xfId="0" applyFill="1" applyBorder="1" applyAlignment="1" applyProtection="1">
      <alignment horizontal="center" vertical="center"/>
      <protection/>
    </xf>
    <xf numFmtId="0" fontId="0" fillId="12" borderId="96" xfId="0" applyFill="1" applyBorder="1" applyAlignment="1" applyProtection="1">
      <alignment horizontal="left" vertical="top" wrapText="1"/>
      <protection/>
    </xf>
    <xf numFmtId="0" fontId="0" fillId="12" borderId="23" xfId="0" applyFill="1" applyBorder="1" applyAlignment="1" applyProtection="1">
      <alignment horizontal="left" vertical="top" wrapText="1"/>
      <protection/>
    </xf>
    <xf numFmtId="0" fontId="0" fillId="12" borderId="95" xfId="0" applyFill="1" applyBorder="1" applyAlignment="1" applyProtection="1">
      <alignment horizontal="left" vertical="top" wrapText="1"/>
      <protection/>
    </xf>
    <xf numFmtId="0" fontId="0" fillId="12" borderId="8" xfId="0" applyFill="1" applyBorder="1" applyAlignment="1" applyProtection="1">
      <alignment vertical="center"/>
      <protection/>
    </xf>
    <xf numFmtId="0" fontId="0" fillId="12" borderId="9" xfId="0" applyFill="1" applyBorder="1" applyAlignment="1" applyProtection="1">
      <alignment vertical="center"/>
      <protection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0" borderId="41" xfId="0" applyFill="1" applyBorder="1" applyAlignment="1">
      <alignment horizontal="right" vertical="center"/>
    </xf>
    <xf numFmtId="0" fontId="0" fillId="20" borderId="52" xfId="0" applyFill="1" applyBorder="1" applyAlignment="1">
      <alignment horizontal="right" vertical="center"/>
    </xf>
    <xf numFmtId="0" fontId="0" fillId="2" borderId="81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96" xfId="0" applyFill="1" applyBorder="1" applyAlignment="1">
      <alignment horizontal="left" vertical="center" wrapText="1"/>
    </xf>
    <xf numFmtId="0" fontId="0" fillId="2" borderId="95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8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5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6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95" xfId="0" applyFill="1" applyBorder="1" applyAlignment="1">
      <alignment horizontal="left" vertical="top" wrapText="1"/>
    </xf>
    <xf numFmtId="0" fontId="0" fillId="18" borderId="20" xfId="0" applyFill="1" applyBorder="1" applyAlignment="1">
      <alignment horizontal="left" vertical="center" wrapText="1"/>
    </xf>
    <xf numFmtId="0" fontId="0" fillId="18" borderId="36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right" vertical="center" wrapText="1"/>
    </xf>
    <xf numFmtId="0" fontId="0" fillId="2" borderId="81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33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17" borderId="5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34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2" borderId="44" xfId="0" applyFill="1" applyBorder="1" applyAlignment="1">
      <alignment horizontal="left" vertical="top" wrapText="1"/>
    </xf>
    <xf numFmtId="0" fontId="10" fillId="2" borderId="8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8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0" fillId="18" borderId="31" xfId="0" applyFill="1" applyBorder="1" applyAlignment="1">
      <alignment horizontal="right" vertical="center"/>
    </xf>
    <xf numFmtId="0" fontId="0" fillId="18" borderId="24" xfId="0" applyFill="1" applyBorder="1" applyAlignment="1">
      <alignment horizontal="right" vertical="center"/>
    </xf>
    <xf numFmtId="0" fontId="0" fillId="2" borderId="84" xfId="0" applyFill="1" applyBorder="1" applyAlignment="1">
      <alignment horizontal="right" vertical="center" wrapText="1"/>
    </xf>
    <xf numFmtId="0" fontId="0" fillId="2" borderId="34" xfId="0" applyFill="1" applyBorder="1" applyAlignment="1">
      <alignment horizontal="right" vertical="center" wrapText="1"/>
    </xf>
    <xf numFmtId="0" fontId="0" fillId="2" borderId="41" xfId="0" applyFill="1" applyBorder="1" applyAlignment="1">
      <alignment horizontal="right" vertical="center"/>
    </xf>
    <xf numFmtId="0" fontId="0" fillId="2" borderId="52" xfId="0" applyFill="1" applyBorder="1" applyAlignment="1">
      <alignment horizontal="right" vertical="center"/>
    </xf>
    <xf numFmtId="0" fontId="0" fillId="11" borderId="4" xfId="0" applyFill="1" applyBorder="1" applyAlignment="1">
      <alignment horizontal="right" vertical="center" wrapText="1"/>
    </xf>
    <xf numFmtId="0" fontId="0" fillId="11" borderId="55" xfId="0" applyFill="1" applyBorder="1" applyAlignment="1" applyProtection="1">
      <alignment horizontal="center" vertical="center"/>
      <protection/>
    </xf>
    <xf numFmtId="0" fontId="0" fillId="11" borderId="97" xfId="0" applyFill="1" applyBorder="1" applyAlignment="1" applyProtection="1">
      <alignment horizontal="center" vertical="center"/>
      <protection/>
    </xf>
    <xf numFmtId="0" fontId="0" fillId="11" borderId="92" xfId="0" applyFill="1" applyBorder="1" applyAlignment="1" applyProtection="1">
      <alignment horizontal="left" vertical="top" wrapText="1"/>
      <protection/>
    </xf>
    <xf numFmtId="0" fontId="0" fillId="11" borderId="5" xfId="0" applyFill="1" applyBorder="1" applyAlignment="1">
      <alignment horizontal="left" vertical="top" wrapText="1"/>
    </xf>
    <xf numFmtId="0" fontId="0" fillId="11" borderId="7" xfId="0" applyFill="1" applyBorder="1" applyAlignment="1">
      <alignment horizontal="left" vertical="top" wrapText="1"/>
    </xf>
    <xf numFmtId="0" fontId="0" fillId="11" borderId="4" xfId="0" applyFill="1" applyBorder="1" applyAlignment="1">
      <alignment horizontal="left" vertical="top" wrapText="1"/>
    </xf>
    <xf numFmtId="0" fontId="0" fillId="11" borderId="9" xfId="0" applyFill="1" applyBorder="1" applyAlignment="1">
      <alignment horizontal="left" vertical="top" wrapText="1"/>
    </xf>
    <xf numFmtId="0" fontId="0" fillId="11" borderId="8" xfId="0" applyFill="1" applyBorder="1" applyAlignment="1" applyProtection="1">
      <alignment vertical="center"/>
      <protection/>
    </xf>
    <xf numFmtId="0" fontId="0" fillId="11" borderId="9" xfId="0" applyFill="1" applyBorder="1" applyAlignment="1" applyProtection="1">
      <alignment vertical="center"/>
      <protection/>
    </xf>
    <xf numFmtId="0" fontId="0" fillId="11" borderId="84" xfId="0" applyFill="1" applyBorder="1" applyAlignment="1" applyProtection="1">
      <alignment horizontal="right" vertical="center"/>
      <protection/>
    </xf>
    <xf numFmtId="0" fontId="0" fillId="11" borderId="80" xfId="0" applyFill="1" applyBorder="1" applyAlignment="1" applyProtection="1">
      <alignment horizontal="left" vertical="center"/>
      <protection/>
    </xf>
    <xf numFmtId="0" fontId="0" fillId="11" borderId="3" xfId="0" applyFill="1" applyBorder="1" applyAlignment="1" applyProtection="1">
      <alignment horizontal="center" vertical="center"/>
      <protection/>
    </xf>
    <xf numFmtId="0" fontId="0" fillId="11" borderId="98" xfId="0" applyFill="1" applyBorder="1" applyAlignment="1" applyProtection="1">
      <alignment horizontal="center" vertical="center"/>
      <protection/>
    </xf>
    <xf numFmtId="0" fontId="0" fillId="11" borderId="13" xfId="0" applyFill="1" applyBorder="1" applyAlignment="1" applyProtection="1">
      <alignment horizontal="center" vertical="center"/>
      <protection/>
    </xf>
    <xf numFmtId="0" fontId="0" fillId="11" borderId="99" xfId="0" applyFill="1" applyBorder="1" applyAlignment="1" applyProtection="1">
      <alignment horizontal="center" vertical="center"/>
      <protection/>
    </xf>
    <xf numFmtId="0" fontId="0" fillId="17" borderId="44" xfId="0" applyFill="1" applyBorder="1" applyAlignment="1">
      <alignment horizontal="left" vertical="top" wrapText="1"/>
    </xf>
    <xf numFmtId="0" fontId="0" fillId="28" borderId="25" xfId="0" applyFill="1" applyBorder="1" applyAlignment="1">
      <alignment horizontal="right" vertical="center"/>
    </xf>
    <xf numFmtId="0" fontId="0" fillId="28" borderId="26" xfId="0" applyFill="1" applyBorder="1" applyAlignment="1">
      <alignment horizontal="right" vertical="center"/>
    </xf>
    <xf numFmtId="0" fontId="0" fillId="28" borderId="10" xfId="0" applyFont="1" applyFill="1" applyBorder="1" applyAlignment="1">
      <alignment horizontal="left" vertical="center"/>
    </xf>
    <xf numFmtId="0" fontId="0" fillId="28" borderId="18" xfId="0" applyFont="1" applyFill="1" applyBorder="1" applyAlignment="1">
      <alignment horizontal="left" vertical="center"/>
    </xf>
    <xf numFmtId="0" fontId="0" fillId="28" borderId="11" xfId="0" applyFont="1" applyFill="1" applyBorder="1" applyAlignment="1">
      <alignment horizontal="left" vertical="center"/>
    </xf>
    <xf numFmtId="0" fontId="0" fillId="11" borderId="10" xfId="0" applyFont="1" applyFill="1" applyBorder="1" applyAlignment="1">
      <alignment horizontal="left" vertical="center"/>
    </xf>
    <xf numFmtId="0" fontId="0" fillId="11" borderId="18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5" xfId="0" applyFont="1" applyFill="1" applyBorder="1" applyAlignment="1">
      <alignment horizontal="left" vertical="center"/>
    </xf>
    <xf numFmtId="0" fontId="0" fillId="11" borderId="2" xfId="0" applyFont="1" applyFill="1" applyBorder="1" applyAlignment="1">
      <alignment horizontal="left" vertical="center"/>
    </xf>
    <xf numFmtId="0" fontId="0" fillId="11" borderId="7" xfId="0" applyFont="1" applyFill="1" applyBorder="1" applyAlignment="1">
      <alignment horizontal="left" vertical="center"/>
    </xf>
    <xf numFmtId="0" fontId="0" fillId="28" borderId="3" xfId="0" applyFont="1" applyFill="1" applyBorder="1" applyAlignment="1">
      <alignment horizontal="left" vertical="center"/>
    </xf>
    <xf numFmtId="0" fontId="0" fillId="28" borderId="0" xfId="0" applyFont="1" applyFill="1" applyBorder="1" applyAlignment="1">
      <alignment horizontal="left" vertical="center"/>
    </xf>
    <xf numFmtId="0" fontId="0" fillId="28" borderId="8" xfId="0" applyFont="1" applyFill="1" applyBorder="1" applyAlignment="1">
      <alignment horizontal="left" vertical="center"/>
    </xf>
    <xf numFmtId="0" fontId="0" fillId="11" borderId="89" xfId="0" applyFill="1" applyBorder="1" applyAlignment="1" applyProtection="1">
      <alignment horizontal="right" vertical="center"/>
      <protection/>
    </xf>
    <xf numFmtId="0" fontId="0" fillId="11" borderId="100" xfId="0" applyFill="1" applyBorder="1" applyAlignment="1" applyProtection="1">
      <alignment horizontal="left" vertical="center"/>
      <protection/>
    </xf>
    <xf numFmtId="0" fontId="0" fillId="12" borderId="33" xfId="0" applyFill="1" applyBorder="1" applyAlignment="1" applyProtection="1">
      <alignment horizontal="center" vertical="center"/>
      <protection/>
    </xf>
    <xf numFmtId="0" fontId="0" fillId="26" borderId="25" xfId="0" applyFill="1" applyBorder="1" applyAlignment="1">
      <alignment horizontal="right" vertical="center"/>
    </xf>
    <xf numFmtId="0" fontId="0" fillId="26" borderId="26" xfId="0" applyFill="1" applyBorder="1" applyAlignment="1">
      <alignment horizontal="right" vertical="center"/>
    </xf>
    <xf numFmtId="0" fontId="0" fillId="26" borderId="10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4" borderId="25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 textRotation="255"/>
    </xf>
    <xf numFmtId="0" fontId="0" fillId="4" borderId="96" xfId="0" applyFill="1" applyBorder="1" applyAlignment="1" applyProtection="1">
      <alignment horizontal="left" vertical="center" wrapText="1"/>
      <protection/>
    </xf>
    <xf numFmtId="0" fontId="0" fillId="4" borderId="95" xfId="0" applyFill="1" applyBorder="1" applyAlignment="1" applyProtection="1">
      <alignment horizontal="left" vertical="center" wrapText="1"/>
      <protection/>
    </xf>
    <xf numFmtId="0" fontId="0" fillId="4" borderId="81" xfId="0" applyFill="1" applyBorder="1" applyAlignment="1" applyProtection="1">
      <alignment horizontal="right" vertical="center"/>
      <protection/>
    </xf>
    <xf numFmtId="0" fontId="0" fillId="4" borderId="19" xfId="0" applyFill="1" applyBorder="1" applyAlignment="1" applyProtection="1">
      <alignment horizontal="left" vertical="center"/>
      <protection/>
    </xf>
    <xf numFmtId="0" fontId="0" fillId="12" borderId="101" xfId="0" applyFill="1" applyBorder="1" applyAlignment="1" applyProtection="1">
      <alignment horizontal="left" vertical="top" wrapText="1"/>
      <protection/>
    </xf>
    <xf numFmtId="0" fontId="0" fillId="12" borderId="89" xfId="0" applyFill="1" applyBorder="1" applyAlignment="1" applyProtection="1">
      <alignment horizontal="right" vertical="center"/>
      <protection/>
    </xf>
    <xf numFmtId="0" fontId="0" fillId="12" borderId="100" xfId="0" applyFill="1" applyBorder="1" applyAlignment="1" applyProtection="1">
      <alignment horizontal="left" vertical="center"/>
      <protection/>
    </xf>
    <xf numFmtId="0" fontId="0" fillId="4" borderId="7" xfId="0" applyFill="1" applyBorder="1" applyAlignment="1" applyProtection="1">
      <alignment horizontal="left" vertical="center"/>
      <protection/>
    </xf>
    <xf numFmtId="0" fontId="0" fillId="4" borderId="10" xfId="0" applyFill="1" applyBorder="1" applyAlignment="1">
      <alignment horizontal="right" vertical="center" wrapText="1"/>
    </xf>
    <xf numFmtId="0" fontId="0" fillId="4" borderId="25" xfId="0" applyFill="1" applyBorder="1" applyAlignment="1">
      <alignment horizontal="right" vertical="center" wrapText="1"/>
    </xf>
    <xf numFmtId="0" fontId="0" fillId="4" borderId="4" xfId="0" applyFill="1" applyBorder="1" applyAlignment="1">
      <alignment horizontal="right" vertical="center" wrapText="1"/>
    </xf>
    <xf numFmtId="0" fontId="0" fillId="4" borderId="16" xfId="0" applyFill="1" applyBorder="1" applyAlignment="1" applyProtection="1">
      <alignment horizontal="center" vertical="center"/>
      <protection/>
    </xf>
    <xf numFmtId="0" fontId="0" fillId="4" borderId="20" xfId="0" applyFill="1" applyBorder="1" applyAlignment="1" applyProtection="1">
      <alignment horizontal="left" vertical="top" wrapText="1"/>
      <protection/>
    </xf>
    <xf numFmtId="0" fontId="0" fillId="4" borderId="36" xfId="0" applyFill="1" applyBorder="1" applyAlignment="1" applyProtection="1">
      <alignment horizontal="left" vertical="top" wrapText="1"/>
      <protection/>
    </xf>
    <xf numFmtId="0" fontId="0" fillId="4" borderId="5" xfId="0" applyFill="1" applyBorder="1" applyAlignment="1" applyProtection="1">
      <alignment horizontal="right" vertical="center"/>
      <protection/>
    </xf>
    <xf numFmtId="0" fontId="0" fillId="4" borderId="34" xfId="0" applyFill="1" applyBorder="1" applyAlignment="1" applyProtection="1">
      <alignment horizontal="right" vertical="center"/>
      <protection/>
    </xf>
    <xf numFmtId="0" fontId="0" fillId="4" borderId="30" xfId="0" applyFill="1" applyBorder="1" applyAlignment="1" applyProtection="1">
      <alignment horizontal="left" vertical="center"/>
      <protection/>
    </xf>
    <xf numFmtId="0" fontId="0" fillId="4" borderId="6" xfId="0" applyFill="1" applyBorder="1" applyAlignment="1" applyProtection="1">
      <alignment horizontal="center" vertical="center"/>
      <protection/>
    </xf>
    <xf numFmtId="0" fontId="0" fillId="4" borderId="86" xfId="0" applyFill="1" applyBorder="1" applyAlignment="1" applyProtection="1">
      <alignment horizontal="center" vertical="center"/>
      <protection/>
    </xf>
    <xf numFmtId="0" fontId="0" fillId="4" borderId="25" xfId="0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39" xfId="0" applyFill="1" applyBorder="1" applyAlignment="1" applyProtection="1">
      <alignment horizontal="center" vertical="center"/>
      <protection/>
    </xf>
    <xf numFmtId="0" fontId="0" fillId="4" borderId="22" xfId="0" applyFill="1" applyBorder="1" applyAlignment="1" applyProtection="1">
      <alignment horizontal="left" vertical="center" wrapText="1"/>
      <protection/>
    </xf>
    <xf numFmtId="0" fontId="0" fillId="4" borderId="96" xfId="0" applyFill="1" applyBorder="1" applyAlignment="1" applyProtection="1">
      <alignment horizontal="left" vertical="top" wrapText="1"/>
      <protection/>
    </xf>
    <xf numFmtId="0" fontId="0" fillId="4" borderId="23" xfId="0" applyFill="1" applyBorder="1" applyAlignment="1" applyProtection="1">
      <alignment horizontal="left" vertical="top" wrapText="1"/>
      <protection/>
    </xf>
    <xf numFmtId="0" fontId="0" fillId="4" borderId="95" xfId="0" applyFill="1" applyBorder="1" applyAlignment="1" applyProtection="1">
      <alignment horizontal="left" vertical="top" wrapText="1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0" fillId="4" borderId="5" xfId="0" applyFill="1" applyBorder="1" applyAlignment="1">
      <alignment horizontal="right" vertical="center" wrapText="1"/>
    </xf>
    <xf numFmtId="0" fontId="0" fillId="4" borderId="31" xfId="0" applyFill="1" applyBorder="1" applyAlignment="1">
      <alignment horizontal="right" vertical="center" wrapText="1"/>
    </xf>
    <xf numFmtId="0" fontId="0" fillId="4" borderId="40" xfId="0" applyFill="1" applyBorder="1" applyAlignment="1">
      <alignment horizontal="right" vertical="center" wrapText="1"/>
    </xf>
    <xf numFmtId="0" fontId="0" fillId="4" borderId="55" xfId="0" applyFill="1" applyBorder="1" applyAlignment="1" applyProtection="1">
      <alignment horizontal="center" vertical="center"/>
      <protection/>
    </xf>
    <xf numFmtId="0" fontId="0" fillId="4" borderId="97" xfId="0" applyFill="1" applyBorder="1" applyAlignment="1" applyProtection="1">
      <alignment horizontal="center" vertical="center"/>
      <protection/>
    </xf>
    <xf numFmtId="0" fontId="0" fillId="4" borderId="20" xfId="0" applyFill="1" applyBorder="1" applyAlignment="1" applyProtection="1">
      <alignment horizontal="left" vertical="center" wrapText="1"/>
      <protection/>
    </xf>
    <xf numFmtId="0" fontId="0" fillId="4" borderId="36" xfId="0" applyFill="1" applyBorder="1" applyAlignment="1" applyProtection="1">
      <alignment horizontal="left" vertical="center" wrapText="1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0" fillId="4" borderId="98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99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7" xfId="0" applyFill="1" applyBorder="1" applyAlignment="1">
      <alignment horizontal="left" vertical="center" wrapText="1"/>
    </xf>
    <xf numFmtId="0" fontId="0" fillId="2" borderId="102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45" xfId="0" applyFill="1" applyBorder="1" applyAlignment="1">
      <alignment horizontal="center" vertical="center" textRotation="255"/>
    </xf>
    <xf numFmtId="0" fontId="0" fillId="2" borderId="86" xfId="0" applyFill="1" applyBorder="1" applyAlignment="1" applyProtection="1">
      <alignment horizontal="center" vertical="center"/>
      <protection/>
    </xf>
    <xf numFmtId="0" fontId="0" fillId="2" borderId="40" xfId="0" applyFill="1" applyBorder="1" applyAlignment="1">
      <alignment horizontal="right" vertical="center" wrapText="1"/>
    </xf>
    <xf numFmtId="0" fontId="0" fillId="2" borderId="55" xfId="0" applyFill="1" applyBorder="1" applyAlignment="1" applyProtection="1">
      <alignment horizontal="center" vertical="center"/>
      <protection/>
    </xf>
    <xf numFmtId="0" fontId="0" fillId="2" borderId="86" xfId="0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textRotation="255"/>
    </xf>
    <xf numFmtId="0" fontId="0" fillId="2" borderId="103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2" borderId="33" xfId="0" applyFill="1" applyBorder="1" applyAlignment="1">
      <alignment horizontal="center" vertical="center" textRotation="255"/>
    </xf>
    <xf numFmtId="0" fontId="0" fillId="2" borderId="92" xfId="0" applyFill="1" applyBorder="1" applyAlignment="1">
      <alignment horizontal="left" vertical="top" wrapText="1"/>
    </xf>
    <xf numFmtId="0" fontId="0" fillId="2" borderId="84" xfId="0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82" xfId="0" applyFill="1" applyBorder="1" applyAlignment="1" applyProtection="1">
      <alignment horizontal="center" vertical="center"/>
      <protection/>
    </xf>
    <xf numFmtId="0" fontId="0" fillId="2" borderId="54" xfId="0" applyFill="1" applyBorder="1" applyAlignment="1" applyProtection="1">
      <alignment horizontal="center" vertical="center"/>
      <protection/>
    </xf>
    <xf numFmtId="0" fontId="0" fillId="10" borderId="33" xfId="0" applyFill="1" applyBorder="1" applyAlignment="1" applyProtection="1">
      <alignment horizontal="center"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>
      <alignment horizontal="center" vertical="center" textRotation="255"/>
    </xf>
    <xf numFmtId="0" fontId="10" fillId="2" borderId="55" xfId="0" applyFont="1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9" xfId="0" applyFill="1" applyBorder="1" applyAlignment="1" applyProtection="1">
      <alignment horizontal="center" vertical="center"/>
      <protection/>
    </xf>
    <xf numFmtId="0" fontId="0" fillId="10" borderId="39" xfId="0" applyFill="1" applyBorder="1" applyAlignment="1" applyProtection="1">
      <alignment horizontal="center" vertical="center"/>
      <protection locked="0"/>
    </xf>
    <xf numFmtId="0" fontId="0" fillId="10" borderId="6" xfId="0" applyFill="1" applyBorder="1" applyAlignment="1" applyProtection="1">
      <alignment horizontal="center" vertical="center"/>
      <protection locked="0"/>
    </xf>
    <xf numFmtId="0" fontId="0" fillId="10" borderId="86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left" vertical="center" wrapText="1"/>
    </xf>
    <xf numFmtId="0" fontId="0" fillId="2" borderId="9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18" borderId="81" xfId="0" applyFill="1" applyBorder="1" applyAlignment="1" applyProtection="1">
      <alignment horizontal="center" vertical="center"/>
      <protection/>
    </xf>
    <xf numFmtId="0" fontId="0" fillId="18" borderId="3" xfId="0" applyFill="1" applyBorder="1" applyAlignment="1" applyProtection="1">
      <alignment horizontal="center" vertical="center"/>
      <protection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10" borderId="54" xfId="0" applyFill="1" applyBorder="1" applyAlignment="1" applyProtection="1">
      <alignment horizontal="center" vertical="center"/>
      <protection locked="0"/>
    </xf>
    <xf numFmtId="0" fontId="0" fillId="18" borderId="13" xfId="0" applyFill="1" applyBorder="1" applyAlignment="1" applyProtection="1">
      <alignment horizontal="center" vertical="center"/>
      <protection/>
    </xf>
    <xf numFmtId="0" fontId="0" fillId="18" borderId="15" xfId="0" applyFill="1" applyBorder="1" applyAlignment="1" applyProtection="1">
      <alignment horizontal="center" vertical="center"/>
      <protection/>
    </xf>
    <xf numFmtId="0" fontId="0" fillId="18" borderId="75" xfId="0" applyFill="1" applyBorder="1" applyAlignment="1" applyProtection="1">
      <alignment horizontal="center" vertical="center"/>
      <protection/>
    </xf>
    <xf numFmtId="0" fontId="0" fillId="21" borderId="12" xfId="0" applyFill="1" applyBorder="1" applyAlignment="1">
      <alignment horizontal="center" vertical="center" textRotation="255"/>
    </xf>
    <xf numFmtId="0" fontId="2" fillId="10" borderId="10" xfId="0" applyFont="1" applyFill="1" applyBorder="1" applyAlignment="1" applyProtection="1">
      <alignment horizontal="right" vertical="center"/>
      <protection locked="0"/>
    </xf>
    <xf numFmtId="0" fontId="2" fillId="10" borderId="18" xfId="0" applyFont="1" applyFill="1" applyBorder="1" applyAlignment="1" applyProtection="1">
      <alignment horizontal="right" vertical="center"/>
      <protection locked="0"/>
    </xf>
    <xf numFmtId="0" fontId="0" fillId="17" borderId="14" xfId="0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horizontal="left" vertical="top" wrapText="1"/>
    </xf>
    <xf numFmtId="0" fontId="3" fillId="21" borderId="2" xfId="0" applyFont="1" applyFill="1" applyBorder="1" applyAlignment="1">
      <alignment horizontal="left" vertical="top" wrapText="1"/>
    </xf>
    <xf numFmtId="0" fontId="3" fillId="21" borderId="7" xfId="0" applyFont="1" applyFill="1" applyBorder="1" applyAlignment="1">
      <alignment horizontal="left" vertical="top" wrapText="1"/>
    </xf>
    <xf numFmtId="0" fontId="3" fillId="21" borderId="3" xfId="0" applyFont="1" applyFill="1" applyBorder="1" applyAlignment="1">
      <alignment horizontal="left" vertical="top" wrapText="1"/>
    </xf>
    <xf numFmtId="0" fontId="3" fillId="21" borderId="0" xfId="0" applyFont="1" applyFill="1" applyBorder="1" applyAlignment="1">
      <alignment horizontal="left" vertical="top" wrapText="1"/>
    </xf>
    <xf numFmtId="0" fontId="3" fillId="21" borderId="8" xfId="0" applyFont="1" applyFill="1" applyBorder="1" applyAlignment="1">
      <alignment horizontal="left" vertical="top" wrapText="1"/>
    </xf>
    <xf numFmtId="0" fontId="3" fillId="21" borderId="4" xfId="0" applyFont="1" applyFill="1" applyBorder="1" applyAlignment="1">
      <alignment horizontal="left" vertical="top" wrapText="1"/>
    </xf>
    <xf numFmtId="0" fontId="3" fillId="21" borderId="1" xfId="0" applyFont="1" applyFill="1" applyBorder="1" applyAlignment="1">
      <alignment horizontal="left" vertical="top" wrapText="1"/>
    </xf>
    <xf numFmtId="0" fontId="3" fillId="21" borderId="9" xfId="0" applyFont="1" applyFill="1" applyBorder="1" applyAlignment="1">
      <alignment horizontal="left" vertical="top" wrapText="1"/>
    </xf>
    <xf numFmtId="0" fontId="3" fillId="32" borderId="3" xfId="0" applyFont="1" applyFill="1" applyBorder="1" applyAlignment="1">
      <alignment horizontal="left" vertical="top" wrapText="1"/>
    </xf>
    <xf numFmtId="0" fontId="3" fillId="32" borderId="8" xfId="0" applyFont="1" applyFill="1" applyBorder="1" applyAlignment="1">
      <alignment horizontal="left" vertical="top" wrapText="1"/>
    </xf>
    <xf numFmtId="0" fontId="3" fillId="31" borderId="5" xfId="0" applyFont="1" applyFill="1" applyBorder="1" applyAlignment="1">
      <alignment horizontal="left" vertical="top" wrapText="1"/>
    </xf>
    <xf numFmtId="0" fontId="3" fillId="31" borderId="7" xfId="0" applyFont="1" applyFill="1" applyBorder="1" applyAlignment="1">
      <alignment horizontal="left" vertical="top" wrapText="1"/>
    </xf>
    <xf numFmtId="0" fontId="3" fillId="31" borderId="3" xfId="0" applyFont="1" applyFill="1" applyBorder="1" applyAlignment="1">
      <alignment horizontal="left" vertical="top" wrapText="1"/>
    </xf>
    <xf numFmtId="0" fontId="3" fillId="31" borderId="8" xfId="0" applyFont="1" applyFill="1" applyBorder="1" applyAlignment="1">
      <alignment horizontal="left" vertical="top" wrapText="1"/>
    </xf>
    <xf numFmtId="0" fontId="0" fillId="18" borderId="99" xfId="0" applyFill="1" applyBorder="1" applyAlignment="1" applyProtection="1">
      <alignment horizontal="center" vertical="center"/>
      <protection/>
    </xf>
    <xf numFmtId="0" fontId="0" fillId="18" borderId="17" xfId="0" applyFill="1" applyBorder="1" applyAlignment="1" applyProtection="1">
      <alignment horizontal="center" vertical="center"/>
      <protection/>
    </xf>
    <xf numFmtId="0" fontId="0" fillId="18" borderId="98" xfId="0" applyFill="1" applyBorder="1" applyAlignment="1" applyProtection="1">
      <alignment horizontal="center" vertical="center"/>
      <protection/>
    </xf>
    <xf numFmtId="0" fontId="0" fillId="2" borderId="80" xfId="0" applyFill="1" applyBorder="1" applyAlignment="1">
      <alignment horizontal="left" vertical="center"/>
    </xf>
    <xf numFmtId="0" fontId="0" fillId="17" borderId="22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17" borderId="7" xfId="0" applyFill="1" applyBorder="1" applyAlignment="1">
      <alignment horizontal="center" vertical="center" wrapText="1"/>
    </xf>
    <xf numFmtId="0" fontId="0" fillId="17" borderId="23" xfId="0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0" fontId="0" fillId="17" borderId="95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textRotation="255"/>
    </xf>
    <xf numFmtId="0" fontId="10" fillId="2" borderId="14" xfId="0" applyFont="1" applyFill="1" applyBorder="1" applyAlignment="1">
      <alignment horizontal="center" vertical="center" textRotation="255"/>
    </xf>
    <xf numFmtId="0" fontId="10" fillId="2" borderId="16" xfId="0" applyFont="1" applyFill="1" applyBorder="1" applyAlignment="1">
      <alignment horizontal="center" vertical="center" textRotation="255"/>
    </xf>
    <xf numFmtId="0" fontId="0" fillId="12" borderId="88" xfId="0" applyFill="1" applyBorder="1" applyAlignment="1" applyProtection="1">
      <alignment horizontal="left" vertical="top" wrapText="1"/>
      <protection/>
    </xf>
    <xf numFmtId="0" fontId="0" fillId="12" borderId="19" xfId="0" applyFill="1" applyBorder="1" applyAlignment="1" applyProtection="1">
      <alignment vertical="center"/>
      <protection/>
    </xf>
    <xf numFmtId="0" fontId="0" fillId="12" borderId="16" xfId="0" applyFill="1" applyBorder="1" applyAlignment="1" applyProtection="1">
      <alignment horizontal="center" vertical="center"/>
      <protection/>
    </xf>
    <xf numFmtId="0" fontId="0" fillId="12" borderId="99" xfId="0" applyFill="1" applyBorder="1" applyAlignment="1" applyProtection="1">
      <alignment horizontal="center" vertical="center"/>
      <protection/>
    </xf>
    <xf numFmtId="0" fontId="0" fillId="12" borderId="98" xfId="0" applyFill="1" applyBorder="1" applyAlignment="1" applyProtection="1">
      <alignment horizontal="center" vertical="center"/>
      <protection/>
    </xf>
    <xf numFmtId="0" fontId="0" fillId="12" borderId="39" xfId="0" applyFill="1" applyBorder="1" applyAlignment="1" applyProtection="1">
      <alignment horizontal="center" vertical="center"/>
      <protection/>
    </xf>
    <xf numFmtId="0" fontId="0" fillId="12" borderId="13" xfId="0" applyFill="1" applyBorder="1" applyAlignment="1" applyProtection="1">
      <alignment horizontal="center" vertical="center"/>
      <protection/>
    </xf>
    <xf numFmtId="0" fontId="0" fillId="12" borderId="97" xfId="0" applyFill="1" applyBorder="1" applyAlignment="1" applyProtection="1">
      <alignment horizontal="center" vertical="center"/>
      <protection/>
    </xf>
    <xf numFmtId="0" fontId="0" fillId="12" borderId="3" xfId="0" applyFill="1" applyBorder="1" applyAlignment="1" applyProtection="1">
      <alignment horizontal="center" vertical="center"/>
      <protection/>
    </xf>
    <xf numFmtId="0" fontId="0" fillId="12" borderId="55" xfId="0" applyFill="1" applyBorder="1" applyAlignment="1" applyProtection="1">
      <alignment horizontal="center" vertical="center"/>
      <protection/>
    </xf>
    <xf numFmtId="0" fontId="0" fillId="12" borderId="5" xfId="0" applyFill="1" applyBorder="1" applyAlignment="1">
      <alignment horizontal="left" vertical="top" wrapText="1"/>
    </xf>
    <xf numFmtId="0" fontId="0" fillId="12" borderId="7" xfId="0" applyFill="1" applyBorder="1" applyAlignment="1">
      <alignment horizontal="left" vertical="top" wrapText="1"/>
    </xf>
    <xf numFmtId="0" fontId="0" fillId="12" borderId="4" xfId="0" applyFill="1" applyBorder="1" applyAlignment="1">
      <alignment horizontal="left" vertical="top" wrapText="1"/>
    </xf>
    <xf numFmtId="0" fontId="0" fillId="12" borderId="9" xfId="0" applyFill="1" applyBorder="1" applyAlignment="1">
      <alignment horizontal="left" vertical="top" wrapText="1"/>
    </xf>
    <xf numFmtId="0" fontId="0" fillId="12" borderId="40" xfId="0" applyFill="1" applyBorder="1" applyAlignment="1">
      <alignment horizontal="right" vertical="center" wrapText="1"/>
    </xf>
    <xf numFmtId="0" fontId="0" fillId="12" borderId="16" xfId="0" applyFill="1" applyBorder="1" applyAlignment="1">
      <alignment horizontal="center" vertical="center" textRotation="255"/>
    </xf>
    <xf numFmtId="0" fontId="10" fillId="12" borderId="84" xfId="0" applyFont="1" applyFill="1" applyBorder="1" applyAlignment="1">
      <alignment horizontal="center" vertical="center" textRotation="255"/>
    </xf>
    <xf numFmtId="0" fontId="10" fillId="12" borderId="3" xfId="0" applyFont="1" applyFill="1" applyBorder="1" applyAlignment="1">
      <alignment horizontal="center" vertical="center" textRotation="255"/>
    </xf>
    <xf numFmtId="0" fontId="10" fillId="12" borderId="4" xfId="0" applyFont="1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4" borderId="88" xfId="0" applyFill="1" applyBorder="1" applyAlignment="1" applyProtection="1">
      <alignment horizontal="left" vertical="top" wrapText="1"/>
      <protection/>
    </xf>
    <xf numFmtId="0" fontId="0" fillId="2" borderId="19" xfId="0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top" wrapText="1"/>
    </xf>
    <xf numFmtId="0" fontId="0" fillId="11" borderId="101" xfId="0" applyFill="1" applyBorder="1" applyAlignment="1" applyProtection="1">
      <alignment horizontal="left" vertical="top" wrapText="1"/>
      <protection/>
    </xf>
    <xf numFmtId="0" fontId="0" fillId="11" borderId="16" xfId="0" applyFill="1" applyBorder="1" applyAlignment="1">
      <alignment horizontal="center" vertical="center" textRotation="255"/>
    </xf>
    <xf numFmtId="0" fontId="10" fillId="11" borderId="84" xfId="0" applyFont="1" applyFill="1" applyBorder="1" applyAlignment="1">
      <alignment horizontal="center" vertical="center" textRotation="255"/>
    </xf>
    <xf numFmtId="0" fontId="10" fillId="11" borderId="3" xfId="0" applyFont="1" applyFill="1" applyBorder="1" applyAlignment="1">
      <alignment horizontal="center" vertical="center" textRotation="255"/>
    </xf>
    <xf numFmtId="0" fontId="10" fillId="11" borderId="4" xfId="0" applyFont="1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93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31" xfId="0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26" borderId="41" xfId="0" applyFill="1" applyBorder="1" applyAlignment="1">
      <alignment horizontal="right" vertical="center"/>
    </xf>
    <xf numFmtId="0" fontId="0" fillId="26" borderId="52" xfId="0" applyFill="1" applyBorder="1" applyAlignment="1">
      <alignment horizontal="right" vertical="center"/>
    </xf>
    <xf numFmtId="0" fontId="0" fillId="12" borderId="12" xfId="0" applyFill="1" applyBorder="1" applyAlignment="1">
      <alignment horizontal="center" vertical="center" textRotation="255"/>
    </xf>
    <xf numFmtId="0" fontId="0" fillId="12" borderId="5" xfId="0" applyFont="1" applyFill="1" applyBorder="1" applyAlignment="1">
      <alignment horizontal="left" vertical="center"/>
    </xf>
    <xf numFmtId="0" fontId="0" fillId="12" borderId="2" xfId="0" applyFont="1" applyFill="1" applyBorder="1" applyAlignment="1">
      <alignment horizontal="left" vertical="center"/>
    </xf>
    <xf numFmtId="0" fontId="0" fillId="12" borderId="7" xfId="0" applyFont="1" applyFill="1" applyBorder="1" applyAlignment="1">
      <alignment horizontal="left" vertical="center"/>
    </xf>
    <xf numFmtId="0" fontId="0" fillId="27" borderId="10" xfId="0" applyFont="1" applyFill="1" applyBorder="1" applyAlignment="1">
      <alignment horizontal="left" vertical="center"/>
    </xf>
    <xf numFmtId="0" fontId="0" fillId="27" borderId="18" xfId="0" applyFont="1" applyFill="1" applyBorder="1" applyAlignment="1">
      <alignment horizontal="left" vertical="center"/>
    </xf>
    <xf numFmtId="0" fontId="0" fillId="27" borderId="11" xfId="0" applyFont="1" applyFill="1" applyBorder="1" applyAlignment="1">
      <alignment horizontal="left" vertical="center"/>
    </xf>
    <xf numFmtId="0" fontId="0" fillId="27" borderId="4" xfId="0" applyFont="1" applyFill="1" applyBorder="1" applyAlignment="1">
      <alignment horizontal="left" vertical="center"/>
    </xf>
    <xf numFmtId="0" fontId="0" fillId="27" borderId="1" xfId="0" applyFont="1" applyFill="1" applyBorder="1" applyAlignment="1">
      <alignment horizontal="left" vertical="center"/>
    </xf>
    <xf numFmtId="0" fontId="0" fillId="27" borderId="9" xfId="0" applyFont="1" applyFill="1" applyBorder="1" applyAlignment="1">
      <alignment horizontal="left" vertical="center"/>
    </xf>
    <xf numFmtId="0" fontId="0" fillId="12" borderId="89" xfId="0" applyFill="1" applyBorder="1" applyAlignment="1">
      <alignment horizontal="left" vertical="center"/>
    </xf>
    <xf numFmtId="0" fontId="0" fillId="12" borderId="90" xfId="0" applyFill="1" applyBorder="1" applyAlignment="1">
      <alignment horizontal="left" vertical="center"/>
    </xf>
    <xf numFmtId="0" fontId="0" fillId="12" borderId="100" xfId="0" applyFill="1" applyBorder="1" applyAlignment="1">
      <alignment horizontal="left" vertical="center"/>
    </xf>
    <xf numFmtId="0" fontId="0" fillId="12" borderId="89" xfId="0" applyFill="1" applyBorder="1" applyAlignment="1">
      <alignment horizontal="right" vertical="center"/>
    </xf>
    <xf numFmtId="0" fontId="0" fillId="12" borderId="90" xfId="0" applyFill="1" applyBorder="1" applyAlignment="1">
      <alignment horizontal="right" vertical="center"/>
    </xf>
    <xf numFmtId="0" fontId="0" fillId="27" borderId="25" xfId="0" applyFill="1" applyBorder="1" applyAlignment="1">
      <alignment horizontal="right" vertical="center"/>
    </xf>
    <xf numFmtId="0" fontId="0" fillId="27" borderId="26" xfId="0" applyFill="1" applyBorder="1" applyAlignment="1">
      <alignment horizontal="right" vertical="center"/>
    </xf>
    <xf numFmtId="0" fontId="0" fillId="27" borderId="4" xfId="0" applyFill="1" applyBorder="1" applyAlignment="1">
      <alignment horizontal="right" vertical="center"/>
    </xf>
    <xf numFmtId="0" fontId="0" fillId="27" borderId="1" xfId="0" applyFill="1" applyBorder="1" applyAlignment="1">
      <alignment horizontal="right" vertical="center"/>
    </xf>
    <xf numFmtId="0" fontId="0" fillId="12" borderId="5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20" borderId="104" xfId="0" applyFill="1" applyBorder="1" applyAlignment="1">
      <alignment horizontal="left" vertical="center"/>
    </xf>
    <xf numFmtId="0" fontId="0" fillId="20" borderId="77" xfId="0" applyFill="1" applyBorder="1" applyAlignment="1">
      <alignment horizontal="left" vertical="center"/>
    </xf>
    <xf numFmtId="0" fontId="0" fillId="20" borderId="105" xfId="0" applyFill="1" applyBorder="1" applyAlignment="1">
      <alignment horizontal="left" vertical="center"/>
    </xf>
    <xf numFmtId="0" fontId="0" fillId="20" borderId="104" xfId="0" applyFill="1" applyBorder="1" applyAlignment="1">
      <alignment horizontal="right" vertical="center"/>
    </xf>
    <xf numFmtId="0" fontId="0" fillId="20" borderId="77" xfId="0" applyFill="1" applyBorder="1" applyAlignment="1">
      <alignment horizontal="right" vertical="center"/>
    </xf>
    <xf numFmtId="0" fontId="0" fillId="11" borderId="104" xfId="0" applyFill="1" applyBorder="1" applyAlignment="1">
      <alignment horizontal="left" vertical="center"/>
    </xf>
    <xf numFmtId="0" fontId="0" fillId="11" borderId="77" xfId="0" applyFill="1" applyBorder="1" applyAlignment="1">
      <alignment horizontal="left" vertical="center"/>
    </xf>
    <xf numFmtId="0" fontId="0" fillId="11" borderId="105" xfId="0" applyFill="1" applyBorder="1" applyAlignment="1">
      <alignment horizontal="left" vertical="center"/>
    </xf>
    <xf numFmtId="0" fontId="0" fillId="11" borderId="104" xfId="0" applyFill="1" applyBorder="1" applyAlignment="1">
      <alignment horizontal="right" vertical="center"/>
    </xf>
    <xf numFmtId="0" fontId="0" fillId="12" borderId="25" xfId="0" applyFill="1" applyBorder="1" applyAlignment="1">
      <alignment horizontal="left" vertical="center" wrapText="1"/>
    </xf>
    <xf numFmtId="0" fontId="0" fillId="12" borderId="26" xfId="0" applyFill="1" applyBorder="1" applyAlignment="1">
      <alignment horizontal="left" vertical="center" wrapText="1"/>
    </xf>
    <xf numFmtId="0" fontId="0" fillId="12" borderId="27" xfId="0" applyFill="1" applyBorder="1" applyAlignment="1">
      <alignment horizontal="left" vertical="center" wrapText="1"/>
    </xf>
    <xf numFmtId="0" fontId="0" fillId="12" borderId="10" xfId="0" applyFont="1" applyFill="1" applyBorder="1" applyAlignment="1">
      <alignment horizontal="left" vertical="center"/>
    </xf>
    <xf numFmtId="0" fontId="0" fillId="12" borderId="18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horizontal="left" vertical="center"/>
    </xf>
    <xf numFmtId="0" fontId="0" fillId="20" borderId="74" xfId="0" applyFill="1" applyBorder="1" applyAlignment="1" applyProtection="1">
      <alignment horizontal="center" vertical="center"/>
      <protection/>
    </xf>
    <xf numFmtId="0" fontId="0" fillId="20" borderId="89" xfId="0" applyFill="1" applyBorder="1" applyAlignment="1" applyProtection="1">
      <alignment horizontal="right" vertical="center"/>
      <protection/>
    </xf>
    <xf numFmtId="0" fontId="0" fillId="20" borderId="100" xfId="0" applyFill="1" applyBorder="1" applyAlignment="1" applyProtection="1">
      <alignment horizontal="left" vertical="center"/>
      <protection/>
    </xf>
    <xf numFmtId="0" fontId="0" fillId="20" borderId="101" xfId="0" applyFill="1" applyBorder="1" applyAlignment="1" applyProtection="1">
      <alignment horizontal="left" vertical="top" wrapText="1"/>
      <protection/>
    </xf>
    <xf numFmtId="0" fontId="0" fillId="29" borderId="4" xfId="0" applyFill="1" applyBorder="1" applyAlignment="1">
      <alignment horizontal="right" vertical="center"/>
    </xf>
    <xf numFmtId="0" fontId="0" fillId="29" borderId="1" xfId="0" applyFill="1" applyBorder="1" applyAlignment="1">
      <alignment horizontal="right" vertical="center"/>
    </xf>
    <xf numFmtId="0" fontId="0" fillId="17" borderId="5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0" borderId="7" xfId="0" applyFill="1" applyBorder="1" applyAlignment="1">
      <alignment horizontal="left" vertical="center" wrapText="1"/>
    </xf>
    <xf numFmtId="0" fontId="2" fillId="25" borderId="3" xfId="0" applyFont="1" applyFill="1" applyBorder="1" applyAlignment="1">
      <alignment vertical="center"/>
    </xf>
    <xf numFmtId="0" fontId="3" fillId="10" borderId="6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F668"/>
  <sheetViews>
    <sheetView tabSelected="1" workbookViewId="0" topLeftCell="A1">
      <pane ySplit="4" topLeftCell="BM5" activePane="bottomLeft" state="frozen"/>
      <selection pane="topLeft" activeCell="A1" sqref="A1"/>
      <selection pane="bottomLeft" activeCell="C13" sqref="C13:K13"/>
    </sheetView>
  </sheetViews>
  <sheetFormatPr defaultColWidth="9.00390625" defaultRowHeight="13.5"/>
  <cols>
    <col min="1" max="1" width="1.25" style="0" customWidth="1"/>
    <col min="2" max="2" width="1.875" style="0" customWidth="1"/>
    <col min="3" max="3" width="5.625" style="0" customWidth="1"/>
    <col min="4" max="18" width="2.50390625" style="0" customWidth="1"/>
    <col min="19" max="28" width="2.50390625" style="173" customWidth="1"/>
    <col min="29" max="29" width="12.625" style="173" customWidth="1"/>
    <col min="30" max="30" width="1.25" style="173" customWidth="1"/>
    <col min="31" max="32" width="1.25" style="0" customWidth="1"/>
    <col min="33" max="33" width="3.125" style="0" customWidth="1"/>
  </cols>
  <sheetData>
    <row r="1" spans="2:30" ht="22.5" customHeight="1">
      <c r="B1" s="19"/>
      <c r="C1" s="203" t="s">
        <v>157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124"/>
    </row>
    <row r="2" spans="2:30" ht="22.5" customHeight="1">
      <c r="B2" s="20"/>
      <c r="C2" s="204" t="s">
        <v>193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125"/>
    </row>
    <row r="3" spans="2:30" ht="22.5" customHeight="1">
      <c r="B3" s="20"/>
      <c r="C3" s="204" t="s">
        <v>29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125"/>
    </row>
    <row r="4" spans="2:30" ht="22.5" customHeight="1">
      <c r="B4" s="21"/>
      <c r="C4" s="1126" t="s">
        <v>0</v>
      </c>
      <c r="D4" s="1126"/>
      <c r="E4" s="1126"/>
      <c r="F4" s="1126"/>
      <c r="G4" s="1126"/>
      <c r="H4" s="1126"/>
      <c r="I4" s="1126"/>
      <c r="J4" s="1126"/>
      <c r="K4" s="1126"/>
      <c r="L4" s="1126"/>
      <c r="M4" s="1126"/>
      <c r="N4" s="1126"/>
      <c r="O4" s="1126"/>
      <c r="P4" s="1126"/>
      <c r="Q4" s="1126"/>
      <c r="R4" s="1126"/>
      <c r="S4" s="1126"/>
      <c r="T4" s="1126"/>
      <c r="U4" s="1126"/>
      <c r="V4" s="1126"/>
      <c r="W4" s="1126"/>
      <c r="X4" s="1126"/>
      <c r="Y4" s="1126"/>
      <c r="Z4" s="1126"/>
      <c r="AA4" s="1126"/>
      <c r="AB4" s="1126"/>
      <c r="AC4" s="1126"/>
      <c r="AD4" s="126"/>
    </row>
    <row r="5" spans="2:30" s="2" customFormat="1" ht="13.5">
      <c r="B5" s="10"/>
      <c r="C5" s="11" t="s">
        <v>435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8"/>
    </row>
    <row r="6" spans="2:30" s="2" customFormat="1" ht="13.5">
      <c r="B6" s="10"/>
      <c r="C6" s="1159"/>
      <c r="D6" s="1160"/>
      <c r="E6" s="1160"/>
      <c r="F6" s="1160"/>
      <c r="G6" s="1160"/>
      <c r="H6" s="1160"/>
      <c r="I6" s="1160"/>
      <c r="J6" s="1160"/>
      <c r="K6" s="1161"/>
      <c r="L6" s="22" t="str">
        <f>IF(LEN(C6)&gt;11,"文字数が多過ぎます","　")</f>
        <v>　</v>
      </c>
      <c r="M6" s="15">
        <f>IF(LEN(C6)&gt;10,"※　利用者名の文字数が多過ぎます","")</f>
      </c>
      <c r="N6" s="11"/>
      <c r="O6" s="11"/>
      <c r="P6" s="11"/>
      <c r="Q6" s="11"/>
      <c r="R6" s="11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</row>
    <row r="7" spans="2:30" s="2" customFormat="1" ht="13.5">
      <c r="B7" s="10"/>
      <c r="C7" s="1039"/>
      <c r="D7" s="1039"/>
      <c r="E7" s="1039"/>
      <c r="F7" s="1039"/>
      <c r="G7" s="1039"/>
      <c r="H7" s="1039"/>
      <c r="I7" s="1039"/>
      <c r="J7" s="1039"/>
      <c r="K7" s="1039"/>
      <c r="L7" s="22"/>
      <c r="M7" s="15"/>
      <c r="N7" s="11"/>
      <c r="O7" s="11"/>
      <c r="P7" s="11"/>
      <c r="Q7" s="11"/>
      <c r="R7" s="11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</row>
    <row r="8" spans="2:30" s="2" customFormat="1" ht="13.5">
      <c r="B8" s="10"/>
      <c r="C8" s="11" t="s">
        <v>499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</row>
    <row r="9" spans="2:30" s="2" customFormat="1" ht="13.5">
      <c r="B9" s="10"/>
      <c r="C9" s="1981"/>
      <c r="D9" s="11" t="s">
        <v>405</v>
      </c>
      <c r="E9" s="1137"/>
      <c r="F9" s="1129"/>
      <c r="G9" s="11" t="s">
        <v>406</v>
      </c>
      <c r="H9" s="1137"/>
      <c r="I9" s="1129"/>
      <c r="J9" s="11" t="s">
        <v>409</v>
      </c>
      <c r="K9" s="11"/>
      <c r="L9" s="11"/>
      <c r="M9" s="11"/>
      <c r="N9" s="11"/>
      <c r="O9" s="11"/>
      <c r="P9" s="11"/>
      <c r="Q9" s="11"/>
      <c r="R9" s="11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8"/>
    </row>
    <row r="10" spans="2:30" s="2" customFormat="1" ht="13.5">
      <c r="B10" s="10"/>
      <c r="C10" s="11" t="s">
        <v>408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8"/>
    </row>
    <row r="11" spans="2:30" s="2" customFormat="1" ht="13.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</row>
    <row r="12" spans="2:30" s="2" customFormat="1" ht="13.5">
      <c r="B12" s="10"/>
      <c r="C12" s="11" t="s">
        <v>70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8"/>
    </row>
    <row r="13" spans="2:30" s="2" customFormat="1" ht="13.5">
      <c r="B13" s="10"/>
      <c r="C13" s="1159"/>
      <c r="D13" s="1160"/>
      <c r="E13" s="1160"/>
      <c r="F13" s="1160"/>
      <c r="G13" s="1160"/>
      <c r="H13" s="1160"/>
      <c r="I13" s="1160"/>
      <c r="J13" s="1160"/>
      <c r="K13" s="1161"/>
      <c r="L13" s="11"/>
      <c r="M13" s="15">
        <f>IF(LEN(C13)&gt;10,"※　担当者名の文字数が多過ぎます","")</f>
      </c>
      <c r="N13" s="11"/>
      <c r="O13" s="11"/>
      <c r="P13" s="11"/>
      <c r="Q13" s="11"/>
      <c r="R13" s="11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</row>
    <row r="14" spans="2:30" s="2" customFormat="1" ht="13.5">
      <c r="B14" s="10"/>
      <c r="C14" s="1039"/>
      <c r="D14" s="1039"/>
      <c r="E14" s="1039"/>
      <c r="F14" s="1039"/>
      <c r="G14" s="1039"/>
      <c r="H14" s="1039"/>
      <c r="I14" s="1039"/>
      <c r="J14" s="1039"/>
      <c r="K14" s="1039"/>
      <c r="L14" s="11"/>
      <c r="M14" s="15"/>
      <c r="N14" s="11"/>
      <c r="O14" s="11"/>
      <c r="P14" s="11"/>
      <c r="Q14" s="11"/>
      <c r="R14" s="11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8"/>
    </row>
    <row r="15" spans="2:30" s="2" customFormat="1" ht="13.5">
      <c r="B15" s="10"/>
      <c r="C15" s="11" t="s">
        <v>407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 t="s">
        <v>318</v>
      </c>
      <c r="S15" s="127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8"/>
    </row>
    <row r="16" spans="2:30" s="2" customFormat="1" ht="13.5">
      <c r="B16" s="10"/>
      <c r="C16" s="1981"/>
      <c r="D16" s="11" t="s">
        <v>405</v>
      </c>
      <c r="E16" s="1137"/>
      <c r="F16" s="1129"/>
      <c r="G16" s="11" t="s">
        <v>406</v>
      </c>
      <c r="H16" s="1137"/>
      <c r="I16" s="1129"/>
      <c r="J16" s="11" t="s">
        <v>409</v>
      </c>
      <c r="K16" s="11"/>
      <c r="L16" s="11"/>
      <c r="M16" s="11"/>
      <c r="N16" s="11"/>
      <c r="O16" s="11"/>
      <c r="P16" s="11"/>
      <c r="Q16" s="11"/>
      <c r="R16" s="1137"/>
      <c r="S16" s="1124"/>
      <c r="T16" s="1129"/>
      <c r="U16" s="11" t="s">
        <v>405</v>
      </c>
      <c r="V16" s="1137"/>
      <c r="W16" s="1129"/>
      <c r="X16" s="11" t="s">
        <v>406</v>
      </c>
      <c r="Y16" s="1137"/>
      <c r="Z16" s="1129"/>
      <c r="AA16" s="11" t="s">
        <v>409</v>
      </c>
      <c r="AB16" s="11"/>
      <c r="AC16" s="11"/>
      <c r="AD16" s="128"/>
    </row>
    <row r="17" spans="2:30" s="2" customFormat="1" ht="13.5">
      <c r="B17" s="10"/>
      <c r="C17" s="11" t="s">
        <v>408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408</v>
      </c>
      <c r="S17" s="127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8"/>
    </row>
    <row r="18" spans="2:30" s="2" customFormat="1" ht="13.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</row>
    <row r="19" spans="2:30" s="2" customFormat="1" ht="13.5">
      <c r="B19" s="10"/>
      <c r="C19" s="11" t="s">
        <v>436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8"/>
    </row>
    <row r="20" spans="2:30" s="2" customFormat="1" ht="13.5">
      <c r="B20" s="10"/>
      <c r="C20" s="1159"/>
      <c r="D20" s="1160"/>
      <c r="E20" s="1160"/>
      <c r="F20" s="1160"/>
      <c r="G20" s="1160"/>
      <c r="H20" s="1160"/>
      <c r="I20" s="1160"/>
      <c r="J20" s="1160"/>
      <c r="K20" s="1161"/>
      <c r="L20" s="22" t="str">
        <f>IF(LEN(C20)&gt;11,"文字数が多過ぎます","　")</f>
        <v>　</v>
      </c>
      <c r="M20" s="15">
        <f>IF(LEN(C20)&gt;10,"※　説明名の文字数が多過ぎます","")</f>
      </c>
      <c r="N20" s="11"/>
      <c r="O20" s="11"/>
      <c r="P20" s="11"/>
      <c r="Q20" s="11"/>
      <c r="R20" s="11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/>
    </row>
    <row r="21" spans="2:30" s="2" customFormat="1" ht="13.5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0"/>
    </row>
    <row r="22" spans="1:31" s="2" customFormat="1" ht="13.5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31"/>
    </row>
    <row r="23" spans="1:31" s="2" customFormat="1" ht="13.5">
      <c r="A23" s="24"/>
      <c r="B23" s="10"/>
      <c r="C23" s="15">
        <f>IF('演算'!$G$236="OVER","用紙の記入枠を超えているため、＃１は転記できません","")</f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31"/>
    </row>
    <row r="24" spans="1:31" s="2" customFormat="1" ht="13.5">
      <c r="A24" s="24"/>
      <c r="B24" s="10"/>
      <c r="C24" s="11" t="s">
        <v>426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36">
        <f>'演算'!G11</f>
        <v>1617</v>
      </c>
      <c r="O24" s="1136"/>
      <c r="P24" s="11" t="s">
        <v>414</v>
      </c>
      <c r="Q24" s="8"/>
      <c r="R24" s="8"/>
      <c r="S24" s="132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31"/>
    </row>
    <row r="25" spans="1:32" s="2" customFormat="1" ht="82.5" customHeight="1">
      <c r="A25" s="24"/>
      <c r="B25" s="10"/>
      <c r="C25" s="1166"/>
      <c r="D25" s="1167"/>
      <c r="E25" s="1167"/>
      <c r="F25" s="1167"/>
      <c r="G25" s="1167"/>
      <c r="H25" s="1167"/>
      <c r="I25" s="1167"/>
      <c r="J25" s="1167"/>
      <c r="K25" s="1167"/>
      <c r="L25" s="1167"/>
      <c r="M25" s="1167"/>
      <c r="N25" s="1167"/>
      <c r="O25" s="1167"/>
      <c r="P25" s="1167"/>
      <c r="Q25" s="1167"/>
      <c r="R25" s="1167"/>
      <c r="S25" s="1167"/>
      <c r="T25" s="1167"/>
      <c r="U25" s="1167"/>
      <c r="V25" s="1167"/>
      <c r="W25" s="1167"/>
      <c r="X25" s="1167"/>
      <c r="Y25" s="1167"/>
      <c r="Z25" s="1167"/>
      <c r="AA25" s="1167"/>
      <c r="AB25" s="1167"/>
      <c r="AC25" s="1168"/>
      <c r="AD25" s="133"/>
      <c r="AE25" s="30"/>
      <c r="AF25" s="5"/>
    </row>
    <row r="26" spans="1:32" s="2" customFormat="1" ht="13.5">
      <c r="A26" s="24"/>
      <c r="B26" s="10"/>
      <c r="C26" s="11" t="s">
        <v>411</v>
      </c>
      <c r="D26" s="11"/>
      <c r="E26" s="11"/>
      <c r="F26" s="11"/>
      <c r="G26" s="1134">
        <f>LEN(C25)</f>
        <v>0</v>
      </c>
      <c r="H26" s="1134"/>
      <c r="I26" s="11" t="s">
        <v>412</v>
      </c>
      <c r="J26" s="11"/>
      <c r="K26" s="11"/>
      <c r="L26" s="15" t="str">
        <f>IF(G26&gt;N24,"※　文字数が多過ぎます","　")</f>
        <v>　</v>
      </c>
      <c r="M26" s="16"/>
      <c r="N26" s="11"/>
      <c r="O26" s="11"/>
      <c r="P26" s="11"/>
      <c r="Q26" s="11"/>
      <c r="R26" s="11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34"/>
      <c r="AE26" s="29"/>
      <c r="AF26" s="5"/>
    </row>
    <row r="27" spans="1:32" s="2" customFormat="1" ht="13.5">
      <c r="A27" s="24"/>
      <c r="B27" s="10"/>
      <c r="C27" s="11"/>
      <c r="D27" s="11"/>
      <c r="E27" s="11"/>
      <c r="F27" s="11"/>
      <c r="G27" s="18"/>
      <c r="H27" s="18"/>
      <c r="I27" s="11"/>
      <c r="J27" s="11"/>
      <c r="K27" s="11"/>
      <c r="L27" s="11"/>
      <c r="M27" s="16"/>
      <c r="N27" s="11"/>
      <c r="O27" s="11"/>
      <c r="P27" s="11"/>
      <c r="Q27" s="11"/>
      <c r="R27" s="11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34"/>
      <c r="AE27" s="29"/>
      <c r="AF27" s="5"/>
    </row>
    <row r="28" spans="1:32" s="2" customFormat="1" ht="13.5">
      <c r="A28" s="31"/>
      <c r="B28" s="27"/>
      <c r="C28" s="27"/>
      <c r="D28" s="27"/>
      <c r="E28" s="27"/>
      <c r="F28" s="27"/>
      <c r="G28" s="28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6"/>
      <c r="AE28" s="29"/>
      <c r="AF28" s="5"/>
    </row>
    <row r="29" spans="1:32" s="2" customFormat="1" ht="13.5">
      <c r="A29" s="31"/>
      <c r="B29" s="9"/>
      <c r="C29" s="15">
        <f>IF('演算'!$G$236="OVER","用紙の記入枠を超えているため、＃１は転記できません","")</f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4"/>
      <c r="AE29" s="29"/>
      <c r="AF29" s="5"/>
    </row>
    <row r="30" spans="1:32" s="2" customFormat="1" ht="13.5">
      <c r="A30" s="31"/>
      <c r="B30" s="11"/>
      <c r="C30" s="11" t="s">
        <v>427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7"/>
      <c r="T30" s="127"/>
      <c r="U30" s="1133">
        <f>'演算'!G18</f>
        <v>1350</v>
      </c>
      <c r="V30" s="1133"/>
      <c r="W30" s="1133"/>
      <c r="X30" s="127" t="s">
        <v>413</v>
      </c>
      <c r="Y30" s="127"/>
      <c r="Z30" s="127"/>
      <c r="AA30" s="127"/>
      <c r="AB30" s="127"/>
      <c r="AC30" s="127"/>
      <c r="AD30" s="134"/>
      <c r="AE30" s="29"/>
      <c r="AF30" s="5"/>
    </row>
    <row r="31" spans="1:32" s="2" customFormat="1" ht="95.25" customHeight="1">
      <c r="A31" s="31"/>
      <c r="B31" s="11"/>
      <c r="C31" s="1166"/>
      <c r="D31" s="1167"/>
      <c r="E31" s="1167"/>
      <c r="F31" s="1167"/>
      <c r="G31" s="1167"/>
      <c r="H31" s="1167"/>
      <c r="I31" s="1167"/>
      <c r="J31" s="1167"/>
      <c r="K31" s="1167"/>
      <c r="L31" s="1167"/>
      <c r="M31" s="1167"/>
      <c r="N31" s="1167"/>
      <c r="O31" s="1167"/>
      <c r="P31" s="1167"/>
      <c r="Q31" s="1167"/>
      <c r="R31" s="1167"/>
      <c r="S31" s="1167"/>
      <c r="T31" s="1167"/>
      <c r="U31" s="1167"/>
      <c r="V31" s="1167"/>
      <c r="W31" s="1167"/>
      <c r="X31" s="1167"/>
      <c r="Y31" s="1167"/>
      <c r="Z31" s="1167"/>
      <c r="AA31" s="1167"/>
      <c r="AB31" s="1167"/>
      <c r="AC31" s="1168"/>
      <c r="AD31" s="133"/>
      <c r="AE31" s="30"/>
      <c r="AF31" s="5"/>
    </row>
    <row r="32" spans="1:32" s="2" customFormat="1" ht="13.5">
      <c r="A32" s="31"/>
      <c r="B32" s="11"/>
      <c r="C32" s="11" t="s">
        <v>411</v>
      </c>
      <c r="D32" s="11"/>
      <c r="E32" s="11"/>
      <c r="F32" s="11"/>
      <c r="G32" s="1134">
        <f>LEN(C31)</f>
        <v>0</v>
      </c>
      <c r="H32" s="1134"/>
      <c r="I32" s="11" t="s">
        <v>412</v>
      </c>
      <c r="J32" s="11"/>
      <c r="K32" s="11"/>
      <c r="L32" s="15" t="str">
        <f>IF(G32&gt;U30,"※　文字数が多過ぎます","　")</f>
        <v>　</v>
      </c>
      <c r="M32" s="15"/>
      <c r="N32" s="11"/>
      <c r="O32" s="11"/>
      <c r="P32" s="11"/>
      <c r="Q32" s="11"/>
      <c r="R32" s="11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34"/>
      <c r="AE32" s="29"/>
      <c r="AF32" s="5"/>
    </row>
    <row r="33" spans="1:32" s="2" customFormat="1" ht="13.5">
      <c r="A33" s="3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34"/>
      <c r="AE33" s="29"/>
      <c r="AF33" s="5"/>
    </row>
    <row r="34" spans="1:32" s="2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6"/>
      <c r="AE34" s="29"/>
      <c r="AF34" s="5"/>
    </row>
    <row r="35" spans="1:32" s="2" customFormat="1" ht="13.5">
      <c r="A35" s="31"/>
      <c r="B35" s="11"/>
      <c r="C35" s="15">
        <f>IF('演算'!$G$236="OVER","用紙の記入枠を超えているため、＃１は転記できません","")</f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34"/>
      <c r="AE35" s="29"/>
      <c r="AF35" s="5"/>
    </row>
    <row r="36" spans="1:32" s="2" customFormat="1" ht="13.5">
      <c r="A36" s="31"/>
      <c r="B36" s="11"/>
      <c r="C36" s="11" t="s">
        <v>428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7"/>
      <c r="T36" s="127"/>
      <c r="U36" s="1133">
        <f>'演算'!G25</f>
        <v>1350</v>
      </c>
      <c r="V36" s="1133"/>
      <c r="W36" s="1133"/>
      <c r="X36" s="127" t="s">
        <v>413</v>
      </c>
      <c r="Y36" s="127"/>
      <c r="Z36" s="127"/>
      <c r="AA36" s="127"/>
      <c r="AB36" s="127"/>
      <c r="AC36" s="127"/>
      <c r="AD36" s="134"/>
      <c r="AE36" s="29"/>
      <c r="AF36" s="5"/>
    </row>
    <row r="37" spans="1:32" s="2" customFormat="1" ht="69" customHeight="1">
      <c r="A37" s="31"/>
      <c r="B37" s="11"/>
      <c r="C37" s="1166"/>
      <c r="D37" s="1167"/>
      <c r="E37" s="1167"/>
      <c r="F37" s="1167"/>
      <c r="G37" s="1167"/>
      <c r="H37" s="1167"/>
      <c r="I37" s="1167"/>
      <c r="J37" s="1167"/>
      <c r="K37" s="1167"/>
      <c r="L37" s="1167"/>
      <c r="M37" s="1167"/>
      <c r="N37" s="1167"/>
      <c r="O37" s="1167"/>
      <c r="P37" s="1167"/>
      <c r="Q37" s="1167"/>
      <c r="R37" s="1167"/>
      <c r="S37" s="1167"/>
      <c r="T37" s="1167"/>
      <c r="U37" s="1167"/>
      <c r="V37" s="1167"/>
      <c r="W37" s="1167"/>
      <c r="X37" s="1167"/>
      <c r="Y37" s="1167"/>
      <c r="Z37" s="1167"/>
      <c r="AA37" s="1167"/>
      <c r="AB37" s="1167"/>
      <c r="AC37" s="1168"/>
      <c r="AD37" s="139"/>
      <c r="AE37" s="33"/>
      <c r="AF37" s="5"/>
    </row>
    <row r="38" spans="1:32" s="2" customFormat="1" ht="13.5">
      <c r="A38" s="31"/>
      <c r="B38" s="11"/>
      <c r="C38" s="11" t="s">
        <v>425</v>
      </c>
      <c r="D38" s="11"/>
      <c r="E38" s="11"/>
      <c r="F38" s="11"/>
      <c r="G38" s="1135">
        <f>LEN(C37)</f>
        <v>0</v>
      </c>
      <c r="H38" s="1135"/>
      <c r="I38" s="11" t="s">
        <v>412</v>
      </c>
      <c r="J38" s="11"/>
      <c r="K38" s="11"/>
      <c r="L38" s="15" t="str">
        <f>IF(G38&gt;U36,"※　文字数が多過ぎます","　")</f>
        <v>　</v>
      </c>
      <c r="M38" s="15"/>
      <c r="N38" s="11"/>
      <c r="O38" s="11"/>
      <c r="P38" s="11"/>
      <c r="Q38" s="11"/>
      <c r="R38" s="11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34"/>
      <c r="AE38" s="29"/>
      <c r="AF38" s="5"/>
    </row>
    <row r="39" spans="1:32" s="2" customFormat="1" ht="13.5">
      <c r="A39" s="31"/>
      <c r="B39" s="11"/>
      <c r="C39" s="11"/>
      <c r="D39" s="11"/>
      <c r="E39" s="11"/>
      <c r="F39" s="11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34"/>
      <c r="AE39" s="29"/>
      <c r="AF39" s="5"/>
    </row>
    <row r="40" spans="1:32" s="2" customFormat="1" ht="13.5">
      <c r="A40" s="31"/>
      <c r="B40" s="31"/>
      <c r="C40" s="31"/>
      <c r="D40" s="31"/>
      <c r="E40" s="31"/>
      <c r="F40" s="31"/>
      <c r="G40" s="32"/>
      <c r="H40" s="3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6"/>
      <c r="AE40" s="29"/>
      <c r="AF40" s="5"/>
    </row>
    <row r="41" spans="1:32" s="2" customFormat="1" ht="13.5">
      <c r="A41" s="31"/>
      <c r="B41" s="11"/>
      <c r="C41" s="15">
        <f>IF('演算'!$G$236="OVER","用紙の記入枠を超えているため、＃１は転記できません","")</f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4"/>
      <c r="AE41" s="29"/>
      <c r="AF41" s="5"/>
    </row>
    <row r="42" spans="1:32" s="2" customFormat="1" ht="13.5">
      <c r="A42" s="31"/>
      <c r="B42" s="11"/>
      <c r="C42" s="11" t="s">
        <v>454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7"/>
      <c r="T42" s="127"/>
      <c r="U42" s="127"/>
      <c r="V42" s="127"/>
      <c r="W42" s="1133">
        <f>'演算'!G33</f>
        <v>2563</v>
      </c>
      <c r="X42" s="1133"/>
      <c r="Y42" s="1133"/>
      <c r="Z42" s="127" t="s">
        <v>414</v>
      </c>
      <c r="AA42" s="127"/>
      <c r="AB42" s="127"/>
      <c r="AC42" s="127"/>
      <c r="AD42" s="134"/>
      <c r="AE42" s="29"/>
      <c r="AF42" s="5"/>
    </row>
    <row r="43" spans="1:32" s="2" customFormat="1" ht="135.75" customHeight="1">
      <c r="A43" s="31"/>
      <c r="B43" s="11"/>
      <c r="C43" s="1166"/>
      <c r="D43" s="1167"/>
      <c r="E43" s="1167"/>
      <c r="F43" s="1167"/>
      <c r="G43" s="1167"/>
      <c r="H43" s="1167"/>
      <c r="I43" s="1167"/>
      <c r="J43" s="1167"/>
      <c r="K43" s="1167"/>
      <c r="L43" s="1167"/>
      <c r="M43" s="1167"/>
      <c r="N43" s="1167"/>
      <c r="O43" s="1167"/>
      <c r="P43" s="1167"/>
      <c r="Q43" s="1167"/>
      <c r="R43" s="1167"/>
      <c r="S43" s="1167"/>
      <c r="T43" s="1167"/>
      <c r="U43" s="1167"/>
      <c r="V43" s="1167"/>
      <c r="W43" s="1167"/>
      <c r="X43" s="1167"/>
      <c r="Y43" s="1167"/>
      <c r="Z43" s="1167"/>
      <c r="AA43" s="1167"/>
      <c r="AB43" s="1167"/>
      <c r="AC43" s="1168"/>
      <c r="AD43" s="133"/>
      <c r="AE43" s="30"/>
      <c r="AF43" s="4"/>
    </row>
    <row r="44" spans="1:31" s="2" customFormat="1" ht="13.5">
      <c r="A44" s="31"/>
      <c r="B44" s="11"/>
      <c r="C44" s="11" t="s">
        <v>424</v>
      </c>
      <c r="D44" s="11"/>
      <c r="E44" s="11"/>
      <c r="F44" s="11"/>
      <c r="G44" s="1135">
        <f>LEN(C43)</f>
        <v>0</v>
      </c>
      <c r="H44" s="1135"/>
      <c r="I44" s="11" t="s">
        <v>412</v>
      </c>
      <c r="J44" s="11"/>
      <c r="K44" s="11"/>
      <c r="L44" s="15" t="str">
        <f>IF(G44&gt;W42,"※　文字数が多過ぎます","　")</f>
        <v>　</v>
      </c>
      <c r="M44" s="17"/>
      <c r="N44" s="11"/>
      <c r="O44" s="11"/>
      <c r="P44" s="11"/>
      <c r="Q44" s="11"/>
      <c r="R44" s="11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31"/>
    </row>
    <row r="45" spans="1:31" s="2" customFormat="1" ht="13.5">
      <c r="A45" s="3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31"/>
    </row>
    <row r="46" spans="1:31" s="2" customFormat="1" ht="13.5">
      <c r="A46" s="31"/>
      <c r="B46" s="11"/>
      <c r="C46" s="11" t="s">
        <v>63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00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31"/>
    </row>
    <row r="47" spans="1:32" s="2" customFormat="1" ht="13.5">
      <c r="A47" s="31"/>
      <c r="B47" s="11"/>
      <c r="C47" s="1162"/>
      <c r="D47" s="1163"/>
      <c r="E47" s="1163"/>
      <c r="F47" s="1164"/>
      <c r="G47" s="198"/>
      <c r="H47" s="800">
        <f>IF('演算'!$G$236="OVER","",IF(LEN(C47)&gt;'演算'!$L$40,"←文字数が多過ぎます",""))</f>
      </c>
      <c r="I47" s="6"/>
      <c r="J47" s="6"/>
      <c r="K47" s="6"/>
      <c r="L47" s="6"/>
      <c r="M47" s="6"/>
      <c r="N47" s="6"/>
      <c r="O47" s="6"/>
      <c r="P47" s="6"/>
      <c r="Q47" s="6"/>
      <c r="R47" s="201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0"/>
      <c r="AE47" s="34"/>
      <c r="AF47" s="3"/>
    </row>
    <row r="48" spans="1:32" s="2" customFormat="1" ht="13.5">
      <c r="A48" s="31"/>
      <c r="B48" s="11"/>
      <c r="C48" s="1162"/>
      <c r="D48" s="1163"/>
      <c r="E48" s="1163"/>
      <c r="F48" s="1164"/>
      <c r="G48" s="198"/>
      <c r="H48" s="800">
        <f>IF('演算'!$G$236="OVER","",IF(LEN(C48)&gt;'演算'!$L$40,"←文字数が多過ぎます",""))</f>
      </c>
      <c r="I48" s="7"/>
      <c r="J48" s="7"/>
      <c r="K48" s="7"/>
      <c r="L48" s="7"/>
      <c r="M48" s="7"/>
      <c r="N48" s="7"/>
      <c r="O48" s="7"/>
      <c r="P48" s="7"/>
      <c r="Q48" s="7"/>
      <c r="R48" s="202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34"/>
      <c r="AF48" s="3"/>
    </row>
    <row r="49" spans="1:32" s="2" customFormat="1" ht="13.5">
      <c r="A49" s="31"/>
      <c r="B49" s="11"/>
      <c r="C49" s="1162"/>
      <c r="D49" s="1163"/>
      <c r="E49" s="1163"/>
      <c r="F49" s="1164"/>
      <c r="G49" s="198"/>
      <c r="H49" s="800">
        <f>IF('演算'!$G$236="OVER","",IF(LEN(C49)&gt;'演算'!$L$40,"←文字数が多過ぎます",""))</f>
      </c>
      <c r="I49" s="7"/>
      <c r="J49" s="7"/>
      <c r="K49" s="7"/>
      <c r="L49" s="7"/>
      <c r="M49" s="7"/>
      <c r="N49" s="7"/>
      <c r="O49" s="7"/>
      <c r="P49" s="7"/>
      <c r="Q49" s="7"/>
      <c r="R49" s="202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34"/>
      <c r="AF49" s="3"/>
    </row>
    <row r="50" spans="1:32" s="2" customFormat="1" ht="13.5">
      <c r="A50" s="31"/>
      <c r="B50" s="11"/>
      <c r="C50" s="1162"/>
      <c r="D50" s="1163"/>
      <c r="E50" s="1163"/>
      <c r="F50" s="1164"/>
      <c r="G50" s="198"/>
      <c r="H50" s="800">
        <f>IF(LEN(C50)&gt;'演算'!L40,"←文字数が多過ぎます","")</f>
      </c>
      <c r="I50" s="7"/>
      <c r="J50" s="7"/>
      <c r="K50" s="7"/>
      <c r="L50" s="7"/>
      <c r="M50" s="7"/>
      <c r="N50" s="7"/>
      <c r="O50" s="7"/>
      <c r="P50" s="7"/>
      <c r="Q50" s="7"/>
      <c r="R50" s="202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34"/>
      <c r="AF50" s="3"/>
    </row>
    <row r="51" spans="1:31" s="2" customFormat="1" ht="13.5">
      <c r="A51" s="31"/>
      <c r="B51" s="11"/>
      <c r="C51" s="11"/>
      <c r="D51" s="11"/>
      <c r="E51" s="11"/>
      <c r="F51" s="11"/>
      <c r="G51" s="199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99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31"/>
    </row>
    <row r="52" spans="1:31" s="2" customFormat="1" ht="13.5">
      <c r="A52" s="31"/>
      <c r="B52" s="11"/>
      <c r="C52" s="11" t="s">
        <v>64</v>
      </c>
      <c r="D52" s="11"/>
      <c r="E52" s="11"/>
      <c r="F52" s="11"/>
      <c r="G52" s="199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00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31"/>
    </row>
    <row r="53" spans="1:31" s="2" customFormat="1" ht="13.5">
      <c r="A53" s="31"/>
      <c r="B53" s="11"/>
      <c r="C53" s="1159"/>
      <c r="D53" s="1160"/>
      <c r="E53" s="1160"/>
      <c r="F53" s="1161"/>
      <c r="G53" s="200"/>
      <c r="H53" s="15">
        <f>IF('演算'!G236="OVER","",IF(LEN(C53)&gt;'演算'!L49,"←文字数が多過ぎます",""))</f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31"/>
    </row>
    <row r="54" spans="1:31" s="2" customFormat="1" ht="13.5">
      <c r="A54" s="31"/>
      <c r="B54" s="11"/>
      <c r="C54" s="1159"/>
      <c r="D54" s="1160"/>
      <c r="E54" s="1160"/>
      <c r="F54" s="1161"/>
      <c r="G54" s="200"/>
      <c r="H54" s="15">
        <f>IF(LEN(C54)&gt;'演算'!L49,"←文字数が多過ぎます","")</f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31"/>
    </row>
    <row r="55" spans="1:31" s="2" customFormat="1" ht="13.5">
      <c r="A55" s="3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31"/>
    </row>
    <row r="56" spans="1:31" s="2" customFormat="1" ht="13.5">
      <c r="A56" s="31"/>
      <c r="B56" s="11"/>
      <c r="C56" s="11" t="s">
        <v>464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31"/>
    </row>
    <row r="57" spans="1:31" s="63" customFormat="1" ht="13.5">
      <c r="A57" s="58"/>
      <c r="B57" s="59"/>
      <c r="C57" s="60" t="s">
        <v>415</v>
      </c>
      <c r="D57" s="1170"/>
      <c r="E57" s="1171"/>
      <c r="F57" s="61" t="s">
        <v>406</v>
      </c>
      <c r="G57" s="1170"/>
      <c r="H57" s="1171"/>
      <c r="I57" s="62" t="s">
        <v>409</v>
      </c>
      <c r="J57" s="1132" t="s">
        <v>497</v>
      </c>
      <c r="K57" s="1132"/>
      <c r="L57" s="1132" t="s">
        <v>416</v>
      </c>
      <c r="M57" s="1132"/>
      <c r="N57" s="1170"/>
      <c r="O57" s="1171"/>
      <c r="P57" s="59" t="s">
        <v>406</v>
      </c>
      <c r="Q57" s="1170"/>
      <c r="R57" s="1171"/>
      <c r="S57" s="141" t="s">
        <v>409</v>
      </c>
      <c r="T57" s="141"/>
      <c r="U57" s="141"/>
      <c r="V57" s="127"/>
      <c r="W57" s="127"/>
      <c r="X57" s="127"/>
      <c r="Y57" s="127"/>
      <c r="Z57" s="127"/>
      <c r="AA57" s="127"/>
      <c r="AB57" s="127"/>
      <c r="AC57" s="127"/>
      <c r="AD57" s="127"/>
      <c r="AE57" s="58"/>
    </row>
    <row r="58" spans="1:31" s="2" customFormat="1" ht="13.5">
      <c r="A58" s="3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31"/>
    </row>
    <row r="59" spans="1:31" s="2" customFormat="1" ht="13.5">
      <c r="A59" s="31"/>
      <c r="B59" s="11"/>
      <c r="C59" s="11" t="s">
        <v>465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31"/>
    </row>
    <row r="60" spans="1:31" s="2" customFormat="1" ht="13.5">
      <c r="A60" s="31"/>
      <c r="B60" s="11"/>
      <c r="C60" s="55"/>
      <c r="D60" s="11"/>
      <c r="E60" s="15">
        <f>IF(LEN(C60)&gt;1,"文字数が多過ぎます","")</f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31"/>
    </row>
    <row r="61" spans="1:31" s="2" customFormat="1" ht="13.5">
      <c r="A61" s="31"/>
      <c r="B61" s="11"/>
      <c r="C61" s="11"/>
      <c r="D61" s="11"/>
      <c r="E61" s="15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31"/>
    </row>
    <row r="62" spans="1:31" s="2" customFormat="1" ht="13.5">
      <c r="A62" s="3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31"/>
    </row>
    <row r="63" spans="1:31" s="2" customFormat="1" ht="13.5">
      <c r="A63" s="31"/>
      <c r="B63" s="11"/>
      <c r="C63" s="15">
        <f>IF('演算'!$G$236="OVER","用紙の記入枠を超えているため、＃１は転記できません","")</f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31"/>
    </row>
    <row r="64" spans="1:32" s="2" customFormat="1" ht="13.5">
      <c r="A64" s="31"/>
      <c r="B64" s="11"/>
      <c r="C64" s="11" t="s">
        <v>457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7"/>
      <c r="T64" s="127"/>
      <c r="U64" s="127"/>
      <c r="V64" s="127"/>
      <c r="W64" s="1133">
        <f>'演算'!G70</f>
        <v>2563</v>
      </c>
      <c r="X64" s="1133"/>
      <c r="Y64" s="1133"/>
      <c r="Z64" s="127" t="s">
        <v>414</v>
      </c>
      <c r="AA64" s="127"/>
      <c r="AB64" s="127"/>
      <c r="AC64" s="127"/>
      <c r="AD64" s="134"/>
      <c r="AE64" s="29"/>
      <c r="AF64" s="5"/>
    </row>
    <row r="65" spans="1:32" s="2" customFormat="1" ht="94.5" customHeight="1">
      <c r="A65" s="31"/>
      <c r="B65" s="11"/>
      <c r="C65" s="1166"/>
      <c r="D65" s="1167"/>
      <c r="E65" s="1167"/>
      <c r="F65" s="1167"/>
      <c r="G65" s="1167"/>
      <c r="H65" s="1167"/>
      <c r="I65" s="1167"/>
      <c r="J65" s="1167"/>
      <c r="K65" s="1167"/>
      <c r="L65" s="1167"/>
      <c r="M65" s="1167"/>
      <c r="N65" s="1167"/>
      <c r="O65" s="1167"/>
      <c r="P65" s="1167"/>
      <c r="Q65" s="1167"/>
      <c r="R65" s="1167"/>
      <c r="S65" s="1167"/>
      <c r="T65" s="1167"/>
      <c r="U65" s="1167"/>
      <c r="V65" s="1167"/>
      <c r="W65" s="1167"/>
      <c r="X65" s="1167"/>
      <c r="Y65" s="1167"/>
      <c r="Z65" s="1167"/>
      <c r="AA65" s="1167"/>
      <c r="AB65" s="1167"/>
      <c r="AC65" s="1168"/>
      <c r="AD65" s="133"/>
      <c r="AE65" s="30"/>
      <c r="AF65" s="4"/>
    </row>
    <row r="66" spans="1:31" s="2" customFormat="1" ht="13.5">
      <c r="A66" s="31"/>
      <c r="B66" s="11"/>
      <c r="C66" s="11" t="s">
        <v>424</v>
      </c>
      <c r="D66" s="11"/>
      <c r="E66" s="11"/>
      <c r="F66" s="11"/>
      <c r="G66" s="1135">
        <f>LEN(C65)</f>
        <v>0</v>
      </c>
      <c r="H66" s="1135"/>
      <c r="I66" s="11" t="s">
        <v>412</v>
      </c>
      <c r="J66" s="11"/>
      <c r="K66" s="11"/>
      <c r="L66" s="15"/>
      <c r="M66" s="15" t="str">
        <f>IF('演算'!G236="OVER","",IF(W64=0,"※　②は記入できません",IF(LEN(C65)&gt;W64,"文字数が多過ぎます"," ")))</f>
        <v> </v>
      </c>
      <c r="N66" s="11"/>
      <c r="O66" s="11"/>
      <c r="P66" s="11"/>
      <c r="Q66" s="11"/>
      <c r="R66" s="11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31"/>
    </row>
    <row r="67" spans="1:31" s="2" customFormat="1" ht="13.5">
      <c r="A67" s="31"/>
      <c r="B67" s="11"/>
      <c r="C67" s="11"/>
      <c r="D67" s="11"/>
      <c r="E67" s="11"/>
      <c r="F67" s="11"/>
      <c r="G67" s="14"/>
      <c r="H67" s="14"/>
      <c r="I67" s="11"/>
      <c r="J67" s="11"/>
      <c r="K67" s="11"/>
      <c r="L67" s="11"/>
      <c r="M67" s="17"/>
      <c r="N67" s="11"/>
      <c r="O67" s="11"/>
      <c r="P67" s="11"/>
      <c r="Q67" s="11"/>
      <c r="R67" s="11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31"/>
    </row>
    <row r="68" spans="1:31" s="2" customFormat="1" ht="13.5">
      <c r="A68" s="31"/>
      <c r="B68" s="11"/>
      <c r="C68" s="11" t="s">
        <v>65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00">
        <f>IF('演算'!G236="OVER","",IF(W64=0,"※　②は記入できません",""))</f>
      </c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31"/>
    </row>
    <row r="69" spans="1:32" s="2" customFormat="1" ht="13.5">
      <c r="A69" s="31"/>
      <c r="B69" s="11"/>
      <c r="C69" s="1162"/>
      <c r="D69" s="1163"/>
      <c r="E69" s="1163"/>
      <c r="F69" s="1164"/>
      <c r="G69" s="198">
        <f>IF('演算'!$G$236="OVER","",IF(($W$64+2)/'演算'!$L$32=1,"担当者は１名しか記入できません",IF(LEN(C69)&gt;'演算'!$L$40,"←文字数が多過ぎます","")))</f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201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40"/>
      <c r="AE69" s="34"/>
      <c r="AF69" s="3"/>
    </row>
    <row r="70" spans="1:32" s="2" customFormat="1" ht="13.5">
      <c r="A70" s="31"/>
      <c r="B70" s="11"/>
      <c r="C70" s="1162"/>
      <c r="D70" s="1163"/>
      <c r="E70" s="1163"/>
      <c r="F70" s="1164"/>
      <c r="G70" s="198">
        <f>IF('演算'!$G$236="OVER","",IF(($W$64+2)/'演算'!$L$32=2,"担当者は２名しか記入できません",IF(LEN(C70)&gt;'演算'!$L$40,"←文字数が多過ぎます","")))</f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202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34"/>
      <c r="AF70" s="3"/>
    </row>
    <row r="71" spans="1:32" s="2" customFormat="1" ht="13.5">
      <c r="A71" s="31"/>
      <c r="B71" s="11"/>
      <c r="C71" s="1162"/>
      <c r="D71" s="1163"/>
      <c r="E71" s="1163"/>
      <c r="F71" s="1164"/>
      <c r="G71" s="198">
        <f>IF('演算'!$G$236="OVER","",IF(($W$64+2)/'演算'!$L$32=3,"担当者は３名しか記入できません",IF(LEN(C71)&gt;'演算'!$L$40,"←文字数が多過ぎます","")))</f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202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34"/>
      <c r="AF71" s="3"/>
    </row>
    <row r="72" spans="1:32" s="2" customFormat="1" ht="13.5">
      <c r="A72" s="31"/>
      <c r="B72" s="11"/>
      <c r="C72" s="1162"/>
      <c r="D72" s="1163"/>
      <c r="E72" s="1163"/>
      <c r="F72" s="1164"/>
      <c r="G72" s="198">
        <f>IF('演算'!G236="OVER","",IF('演算'!O85="OVER","※ 担当者の数が多過ぎます",IF(LEN(C72)&gt;'演算'!L40,"←文字数が多過ぎます","")))</f>
      </c>
      <c r="H72" s="22"/>
      <c r="I72" s="7"/>
      <c r="J72" s="7"/>
      <c r="K72" s="7"/>
      <c r="L72" s="7"/>
      <c r="M72" s="7"/>
      <c r="N72" s="7"/>
      <c r="O72" s="7"/>
      <c r="P72" s="7"/>
      <c r="Q72" s="7"/>
      <c r="R72" s="202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34"/>
      <c r="AF72" s="3"/>
    </row>
    <row r="73" spans="1:31" s="2" customFormat="1" ht="13.5">
      <c r="A73" s="31"/>
      <c r="B73" s="11"/>
      <c r="C73" s="11"/>
      <c r="D73" s="11"/>
      <c r="E73" s="11"/>
      <c r="F73" s="11"/>
      <c r="G73" s="199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99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31"/>
    </row>
    <row r="74" spans="1:31" s="2" customFormat="1" ht="13.5">
      <c r="A74" s="31"/>
      <c r="B74" s="11"/>
      <c r="C74" s="11" t="s">
        <v>66</v>
      </c>
      <c r="D74" s="11"/>
      <c r="E74" s="11"/>
      <c r="F74" s="11"/>
      <c r="G74" s="199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00">
        <f>IF('演算'!G236="OVER","",IF(W64=0,"※　②は記入できません",""))</f>
      </c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31"/>
    </row>
    <row r="75" spans="1:31" s="2" customFormat="1" ht="13.5">
      <c r="A75" s="31"/>
      <c r="B75" s="11"/>
      <c r="C75" s="1159"/>
      <c r="D75" s="1160"/>
      <c r="E75" s="1160"/>
      <c r="F75" s="1161"/>
      <c r="G75" s="200">
        <f>IF('演算'!G236="OVER","",IF((W64+2)/'演算'!L32=1,"※ 頻度はひとつしか記入できません",IF(LEN(C75)&gt;'演算'!L49,"←文字数が多過ぎます","")))</f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31"/>
    </row>
    <row r="76" spans="1:31" s="2" customFormat="1" ht="13.5">
      <c r="A76" s="31"/>
      <c r="B76" s="11"/>
      <c r="C76" s="1159"/>
      <c r="D76" s="1160"/>
      <c r="E76" s="1160"/>
      <c r="F76" s="1161"/>
      <c r="G76" s="200">
        <f>IF('演算'!G236="OVER","",IF('演算'!O96="OVER","※ 頻度の記入数が多過ぎます",IF(LEN(C76)&gt;'演算'!L49,"←文字数が多過ぎます","")))</f>
      </c>
      <c r="H76" s="15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31"/>
    </row>
    <row r="77" spans="1:31" s="2" customFormat="1" ht="13.5">
      <c r="A77" s="3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31"/>
    </row>
    <row r="78" spans="1:31" s="2" customFormat="1" ht="13.5">
      <c r="A78" s="31"/>
      <c r="B78" s="11"/>
      <c r="C78" s="11" t="s">
        <v>466</v>
      </c>
      <c r="D78" s="11"/>
      <c r="E78" s="11"/>
      <c r="F78" s="11"/>
      <c r="G78" s="11"/>
      <c r="H78" s="11"/>
      <c r="I78" s="11"/>
      <c r="J78" s="11"/>
      <c r="K78" s="11"/>
      <c r="L78" s="15" t="str">
        <f>IF('演算'!G236="OVER","",IF(W64=0,"※　②は記入できません","　"))</f>
        <v>　</v>
      </c>
      <c r="M78" s="11"/>
      <c r="N78" s="11"/>
      <c r="O78" s="11"/>
      <c r="P78" s="11"/>
      <c r="Q78" s="11"/>
      <c r="R78" s="11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31"/>
    </row>
    <row r="79" spans="1:31" s="63" customFormat="1" ht="13.5">
      <c r="A79" s="58"/>
      <c r="B79" s="59"/>
      <c r="C79" s="60" t="s">
        <v>415</v>
      </c>
      <c r="D79" s="1170"/>
      <c r="E79" s="1171"/>
      <c r="F79" s="61" t="s">
        <v>406</v>
      </c>
      <c r="G79" s="1170"/>
      <c r="H79" s="1171"/>
      <c r="I79" s="62" t="s">
        <v>409</v>
      </c>
      <c r="J79" s="1132" t="s">
        <v>497</v>
      </c>
      <c r="K79" s="1132"/>
      <c r="L79" s="1132" t="s">
        <v>416</v>
      </c>
      <c r="M79" s="1132"/>
      <c r="N79" s="1170"/>
      <c r="O79" s="1171"/>
      <c r="P79" s="59" t="s">
        <v>406</v>
      </c>
      <c r="Q79" s="1170"/>
      <c r="R79" s="1171"/>
      <c r="S79" s="141" t="s">
        <v>409</v>
      </c>
      <c r="T79" s="141"/>
      <c r="U79" s="141"/>
      <c r="V79" s="127"/>
      <c r="W79" s="127"/>
      <c r="X79" s="127"/>
      <c r="Y79" s="127"/>
      <c r="Z79" s="127"/>
      <c r="AA79" s="127"/>
      <c r="AB79" s="127"/>
      <c r="AC79" s="127"/>
      <c r="AD79" s="127"/>
      <c r="AE79" s="58"/>
    </row>
    <row r="80" spans="1:31" s="2" customFormat="1" ht="13.5">
      <c r="A80" s="3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31"/>
    </row>
    <row r="81" spans="1:31" s="2" customFormat="1" ht="13.5">
      <c r="A81" s="31"/>
      <c r="B81" s="11"/>
      <c r="C81" s="11" t="s">
        <v>467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31"/>
    </row>
    <row r="82" spans="1:31" s="2" customFormat="1" ht="13.5">
      <c r="A82" s="31"/>
      <c r="B82" s="11"/>
      <c r="C82" s="55"/>
      <c r="D82" s="11"/>
      <c r="E82" s="15">
        <f>IF('演算'!G236="OVER","",IF(W64=0,"※　②は記入できません",IF(LEN(C82)&gt;1,"※ 達成度の文字数が多過ぎます","")))</f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31"/>
    </row>
    <row r="83" spans="1:31" s="2" customFormat="1" ht="13.5">
      <c r="A83" s="31"/>
      <c r="B83" s="11"/>
      <c r="C83" s="11"/>
      <c r="D83" s="11"/>
      <c r="E83" s="15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31"/>
    </row>
    <row r="84" spans="1:31" s="2" customFormat="1" ht="13.5">
      <c r="A84" s="31"/>
      <c r="B84" s="35"/>
      <c r="C84" s="35"/>
      <c r="D84" s="35"/>
      <c r="E84" s="35"/>
      <c r="F84" s="35"/>
      <c r="G84" s="36"/>
      <c r="H84" s="36"/>
      <c r="I84" s="35"/>
      <c r="J84" s="35"/>
      <c r="K84" s="35"/>
      <c r="L84" s="35"/>
      <c r="M84" s="37"/>
      <c r="N84" s="35"/>
      <c r="O84" s="35"/>
      <c r="P84" s="35"/>
      <c r="Q84" s="35"/>
      <c r="R84" s="35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31"/>
    </row>
    <row r="85" spans="1:31" s="2" customFormat="1" ht="13.5">
      <c r="A85" s="31"/>
      <c r="B85" s="11"/>
      <c r="C85" s="15">
        <f>IF('演算'!$G$236="OVER","用紙の記入枠を超えているため、＃１は転記できません","")</f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31"/>
    </row>
    <row r="86" spans="1:32" s="2" customFormat="1" ht="17.25">
      <c r="A86" s="31"/>
      <c r="B86" s="11"/>
      <c r="C86" s="11" t="s">
        <v>441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27"/>
      <c r="T86" s="127"/>
      <c r="U86" s="127"/>
      <c r="V86" s="127"/>
      <c r="W86" s="1133">
        <f>'演算'!G110</f>
        <v>2563</v>
      </c>
      <c r="X86" s="1133"/>
      <c r="Y86" s="1133"/>
      <c r="Z86" s="127" t="s">
        <v>414</v>
      </c>
      <c r="AA86" s="127"/>
      <c r="AB86" s="127"/>
      <c r="AC86" s="127"/>
      <c r="AD86" s="134"/>
      <c r="AE86" s="29"/>
      <c r="AF86" s="5"/>
    </row>
    <row r="87" spans="1:32" s="2" customFormat="1" ht="94.5" customHeight="1">
      <c r="A87" s="31"/>
      <c r="B87" s="11"/>
      <c r="C87" s="1166"/>
      <c r="D87" s="1167"/>
      <c r="E87" s="1167"/>
      <c r="F87" s="1167"/>
      <c r="G87" s="1167"/>
      <c r="H87" s="1167"/>
      <c r="I87" s="1167"/>
      <c r="J87" s="1167"/>
      <c r="K87" s="1167"/>
      <c r="L87" s="1167"/>
      <c r="M87" s="1167"/>
      <c r="N87" s="1167"/>
      <c r="O87" s="1167"/>
      <c r="P87" s="1167"/>
      <c r="Q87" s="1167"/>
      <c r="R87" s="1167"/>
      <c r="S87" s="1167"/>
      <c r="T87" s="1167"/>
      <c r="U87" s="1167"/>
      <c r="V87" s="1167"/>
      <c r="W87" s="1167"/>
      <c r="X87" s="1167"/>
      <c r="Y87" s="1167"/>
      <c r="Z87" s="1167"/>
      <c r="AA87" s="1167"/>
      <c r="AB87" s="1167"/>
      <c r="AC87" s="1168"/>
      <c r="AD87" s="133"/>
      <c r="AE87" s="30"/>
      <c r="AF87" s="4"/>
    </row>
    <row r="88" spans="1:31" s="2" customFormat="1" ht="13.5">
      <c r="A88" s="31"/>
      <c r="B88" s="11"/>
      <c r="C88" s="11" t="s">
        <v>424</v>
      </c>
      <c r="D88" s="11"/>
      <c r="E88" s="11"/>
      <c r="F88" s="11"/>
      <c r="G88" s="1135">
        <f>LEN(C87)</f>
        <v>0</v>
      </c>
      <c r="H88" s="1135"/>
      <c r="I88" s="11" t="s">
        <v>412</v>
      </c>
      <c r="J88" s="11"/>
      <c r="K88" s="11"/>
      <c r="L88" s="15" t="str">
        <f>IF('演算'!G236="OVER","",IF(W86=0,"※　③は記入できません",IF(G88&gt;W86,"※　文字数が多過ぎます","　")))</f>
        <v>　</v>
      </c>
      <c r="M88" s="15"/>
      <c r="N88" s="11"/>
      <c r="O88" s="11"/>
      <c r="P88" s="11"/>
      <c r="Q88" s="11"/>
      <c r="R88" s="11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31"/>
    </row>
    <row r="89" spans="1:31" s="2" customFormat="1" ht="13.5">
      <c r="A89" s="31"/>
      <c r="B89" s="11"/>
      <c r="C89" s="11"/>
      <c r="D89" s="11"/>
      <c r="E89" s="11"/>
      <c r="F89" s="11"/>
      <c r="G89" s="14"/>
      <c r="H89" s="14"/>
      <c r="I89" s="11"/>
      <c r="J89" s="11"/>
      <c r="K89" s="11"/>
      <c r="L89" s="11"/>
      <c r="M89" s="15"/>
      <c r="N89" s="11"/>
      <c r="O89" s="11"/>
      <c r="P89" s="11"/>
      <c r="Q89" s="11"/>
      <c r="R89" s="11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31"/>
    </row>
    <row r="90" spans="1:31" s="2" customFormat="1" ht="13.5">
      <c r="A90" s="31"/>
      <c r="B90" s="11"/>
      <c r="C90" s="11" t="s">
        <v>126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200">
        <f>IF('演算'!G236="OVER","",IF(W86=0,"※　③は記入できません",""))</f>
      </c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31"/>
    </row>
    <row r="91" spans="1:32" s="2" customFormat="1" ht="13.5">
      <c r="A91" s="31"/>
      <c r="B91" s="11"/>
      <c r="C91" s="1162"/>
      <c r="D91" s="1163"/>
      <c r="E91" s="1163"/>
      <c r="F91" s="1164"/>
      <c r="G91" s="198">
        <f>IF('演算'!G236="OVER","",IF((W86+2)/'演算'!L32=1,"担当者は１名しか記入できません",IF(LEN(C91)&gt;'演算'!L40,"←文字数が多過ぎます","")))</f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201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40"/>
      <c r="AE91" s="34"/>
      <c r="AF91" s="3"/>
    </row>
    <row r="92" spans="1:32" s="2" customFormat="1" ht="13.5">
      <c r="A92" s="31"/>
      <c r="B92" s="11"/>
      <c r="C92" s="1162"/>
      <c r="D92" s="1163"/>
      <c r="E92" s="1163"/>
      <c r="F92" s="1164"/>
      <c r="G92" s="198">
        <f>IF('演算'!G236="OVER","",IF((W86+2)/'演算'!L32=2,"※ 担当者は2名しか記入できません",IF(LEN(C92)&gt;'演算'!L40,"←文字数が多過ぎます","")))</f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202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34"/>
      <c r="AF92" s="3"/>
    </row>
    <row r="93" spans="1:32" s="2" customFormat="1" ht="13.5">
      <c r="A93" s="31"/>
      <c r="B93" s="11"/>
      <c r="C93" s="1162"/>
      <c r="D93" s="1163"/>
      <c r="E93" s="1163"/>
      <c r="F93" s="1164"/>
      <c r="G93" s="198">
        <f>IF('演算'!G236="OVER","",IF((W86+2)/'演算'!L32=3,"※ 担当者は3名しか記入できません",IF(LEN(C93)&gt;'演算'!L40,"←文字数が多過ぎます","")))</f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202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34"/>
      <c r="AF93" s="3"/>
    </row>
    <row r="94" spans="1:32" s="2" customFormat="1" ht="13.5">
      <c r="A94" s="31"/>
      <c r="B94" s="11"/>
      <c r="C94" s="1162"/>
      <c r="D94" s="1163"/>
      <c r="E94" s="1163"/>
      <c r="F94" s="1164"/>
      <c r="G94" s="198">
        <f>IF('演算'!G236="OVER","",IF('演算'!O125="OVER","※ 担当者の数が多過ぎます",IF(LEN(C94)&gt;'演算'!L40,"←文字数が多過ぎます","")))</f>
      </c>
      <c r="H94" s="22"/>
      <c r="I94" s="7"/>
      <c r="J94" s="7"/>
      <c r="K94" s="7"/>
      <c r="L94" s="7"/>
      <c r="M94" s="7"/>
      <c r="N94" s="7"/>
      <c r="O94" s="7"/>
      <c r="P94" s="7"/>
      <c r="Q94" s="7"/>
      <c r="R94" s="202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34"/>
      <c r="AF94" s="3"/>
    </row>
    <row r="95" spans="1:31" s="2" customFormat="1" ht="13.5">
      <c r="A95" s="31"/>
      <c r="B95" s="11"/>
      <c r="C95" s="64"/>
      <c r="D95" s="64"/>
      <c r="E95" s="64"/>
      <c r="F95" s="11"/>
      <c r="G95" s="199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99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31"/>
    </row>
    <row r="96" spans="1:31" s="2" customFormat="1" ht="13.5">
      <c r="A96" s="31"/>
      <c r="B96" s="11"/>
      <c r="C96" s="64" t="s">
        <v>67</v>
      </c>
      <c r="D96" s="64"/>
      <c r="E96" s="64"/>
      <c r="F96" s="11"/>
      <c r="G96" s="199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200">
        <f>IF('演算'!G236="OVER","",IF(W86=0,"※　③は記入できません",""))</f>
      </c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31"/>
    </row>
    <row r="97" spans="1:31" s="2" customFormat="1" ht="13.5">
      <c r="A97" s="31"/>
      <c r="B97" s="11"/>
      <c r="C97" s="1159"/>
      <c r="D97" s="1160"/>
      <c r="E97" s="1160"/>
      <c r="F97" s="1161"/>
      <c r="G97" s="200">
        <f>IF('演算'!G236="OVER","",IF((W86+2)/'演算'!L32=1,"※ 頻度はひとつしか記入できません",IF(LEN(C97)&gt;'演算'!L49,"←文字数が多過ぎます","")))</f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31"/>
    </row>
    <row r="98" spans="1:31" s="2" customFormat="1" ht="13.5">
      <c r="A98" s="31"/>
      <c r="B98" s="11"/>
      <c r="C98" s="1159"/>
      <c r="D98" s="1160"/>
      <c r="E98" s="1160"/>
      <c r="F98" s="1161"/>
      <c r="G98" s="200">
        <f>IF('演算'!G236="OVER","",IF('演算'!O136="OVER","※ 頻度の記入数が多過ぎます",IF(LEN(C98)&gt;'演算'!L49,"←文字数が多過ぎます","")))</f>
      </c>
      <c r="H98" s="15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31"/>
    </row>
    <row r="99" spans="1:31" s="2" customFormat="1" ht="13.5">
      <c r="A99" s="3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31"/>
    </row>
    <row r="100" spans="1:31" s="2" customFormat="1" ht="13.5">
      <c r="A100" s="31"/>
      <c r="B100" s="11"/>
      <c r="C100" s="11" t="s">
        <v>468</v>
      </c>
      <c r="D100" s="11"/>
      <c r="E100" s="11"/>
      <c r="F100" s="11"/>
      <c r="G100" s="11"/>
      <c r="H100" s="11"/>
      <c r="I100" s="11"/>
      <c r="J100" s="11"/>
      <c r="K100" s="11"/>
      <c r="L100" s="15" t="str">
        <f>IF('演算'!G236="OVER","",IF(W86=0,"※　③は記入できません","　"))</f>
        <v>　</v>
      </c>
      <c r="M100" s="11"/>
      <c r="N100" s="11"/>
      <c r="O100" s="11"/>
      <c r="P100" s="11"/>
      <c r="Q100" s="11"/>
      <c r="R100" s="11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31"/>
    </row>
    <row r="101" spans="1:31" s="63" customFormat="1" ht="13.5">
      <c r="A101" s="58"/>
      <c r="B101" s="59"/>
      <c r="C101" s="60" t="s">
        <v>415</v>
      </c>
      <c r="D101" s="1170"/>
      <c r="E101" s="1171"/>
      <c r="F101" s="61" t="s">
        <v>406</v>
      </c>
      <c r="G101" s="1170"/>
      <c r="H101" s="1171"/>
      <c r="I101" s="62" t="s">
        <v>409</v>
      </c>
      <c r="J101" s="1132" t="s">
        <v>497</v>
      </c>
      <c r="K101" s="1132"/>
      <c r="L101" s="1132" t="s">
        <v>416</v>
      </c>
      <c r="M101" s="1132"/>
      <c r="N101" s="1170"/>
      <c r="O101" s="1171"/>
      <c r="P101" s="59" t="s">
        <v>406</v>
      </c>
      <c r="Q101" s="1170"/>
      <c r="R101" s="1171"/>
      <c r="S101" s="141" t="s">
        <v>409</v>
      </c>
      <c r="T101" s="141"/>
      <c r="U101" s="141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58"/>
    </row>
    <row r="102" spans="1:31" s="2" customFormat="1" ht="13.5">
      <c r="A102" s="3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31"/>
    </row>
    <row r="103" spans="1:31" s="2" customFormat="1" ht="13.5">
      <c r="A103" s="31"/>
      <c r="B103" s="11"/>
      <c r="C103" s="11" t="s">
        <v>469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31"/>
    </row>
    <row r="104" spans="1:31" s="2" customFormat="1" ht="13.5">
      <c r="A104" s="31"/>
      <c r="B104" s="11"/>
      <c r="C104" s="55"/>
      <c r="D104" s="11"/>
      <c r="E104" s="15">
        <f>IF('演算'!G236="OVER","",IF(W86=0,"※　③は記入できません",IF(LEN(C104)&gt;1,"※ 達成度の文字数が多過ぎます","")))</f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31"/>
    </row>
    <row r="105" spans="1:31" s="2" customFormat="1" ht="13.5">
      <c r="A105" s="31"/>
      <c r="B105" s="11"/>
      <c r="C105" s="11"/>
      <c r="D105" s="11"/>
      <c r="E105" s="15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31"/>
    </row>
    <row r="106" spans="1:31" s="2" customFormat="1" ht="13.5">
      <c r="A106" s="31"/>
      <c r="B106" s="35"/>
      <c r="C106" s="35"/>
      <c r="D106" s="35"/>
      <c r="E106" s="35"/>
      <c r="F106" s="35"/>
      <c r="G106" s="36"/>
      <c r="H106" s="36"/>
      <c r="I106" s="35"/>
      <c r="J106" s="35"/>
      <c r="K106" s="35"/>
      <c r="L106" s="35"/>
      <c r="M106" s="38"/>
      <c r="N106" s="35"/>
      <c r="O106" s="35"/>
      <c r="P106" s="35"/>
      <c r="Q106" s="35"/>
      <c r="R106" s="35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31"/>
    </row>
    <row r="107" spans="1:31" s="2" customFormat="1" ht="13.5">
      <c r="A107" s="31"/>
      <c r="B107" s="11"/>
      <c r="C107" s="15">
        <f>IF('演算'!$G$236="OVER","用紙の記入枠を超えているため、＃１は転記できません","")</f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31"/>
    </row>
    <row r="108" spans="1:32" s="2" customFormat="1" ht="17.25">
      <c r="A108" s="31"/>
      <c r="B108" s="11"/>
      <c r="C108" s="11" t="s">
        <v>442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27"/>
      <c r="T108" s="127"/>
      <c r="U108" s="127"/>
      <c r="V108" s="127"/>
      <c r="W108" s="1133">
        <f>'演算'!G150</f>
        <v>2563</v>
      </c>
      <c r="X108" s="1133"/>
      <c r="Y108" s="1133"/>
      <c r="Z108" s="127" t="s">
        <v>414</v>
      </c>
      <c r="AA108" s="127"/>
      <c r="AB108" s="127"/>
      <c r="AC108" s="127"/>
      <c r="AD108" s="134"/>
      <c r="AE108" s="29"/>
      <c r="AF108" s="5"/>
    </row>
    <row r="109" spans="1:32" s="2" customFormat="1" ht="94.5" customHeight="1">
      <c r="A109" s="31"/>
      <c r="B109" s="11"/>
      <c r="C109" s="1166"/>
      <c r="D109" s="1167"/>
      <c r="E109" s="1167"/>
      <c r="F109" s="1167"/>
      <c r="G109" s="1167"/>
      <c r="H109" s="1167"/>
      <c r="I109" s="1167"/>
      <c r="J109" s="1167"/>
      <c r="K109" s="1167"/>
      <c r="L109" s="1167"/>
      <c r="M109" s="1167"/>
      <c r="N109" s="1167"/>
      <c r="O109" s="1167"/>
      <c r="P109" s="1167"/>
      <c r="Q109" s="1167"/>
      <c r="R109" s="1167"/>
      <c r="S109" s="1167"/>
      <c r="T109" s="1167"/>
      <c r="U109" s="1167"/>
      <c r="V109" s="1167"/>
      <c r="W109" s="1167"/>
      <c r="X109" s="1167"/>
      <c r="Y109" s="1167"/>
      <c r="Z109" s="1167"/>
      <c r="AA109" s="1167"/>
      <c r="AB109" s="1167"/>
      <c r="AC109" s="1168"/>
      <c r="AD109" s="133"/>
      <c r="AE109" s="30"/>
      <c r="AF109" s="4"/>
    </row>
    <row r="110" spans="1:31" s="2" customFormat="1" ht="13.5">
      <c r="A110" s="31"/>
      <c r="B110" s="11"/>
      <c r="C110" s="11" t="s">
        <v>424</v>
      </c>
      <c r="D110" s="11"/>
      <c r="E110" s="11"/>
      <c r="F110" s="11"/>
      <c r="G110" s="1135">
        <f>LEN(C109)</f>
        <v>0</v>
      </c>
      <c r="H110" s="1135"/>
      <c r="I110" s="11" t="s">
        <v>412</v>
      </c>
      <c r="J110" s="11"/>
      <c r="K110" s="11"/>
      <c r="L110" s="15" t="str">
        <f>IF('演算'!G236="OVER","",IF(W108=0,"※　④は記入できません",IF(G110&gt;W108,"※　文字数が多過ぎます","　")))</f>
        <v>　</v>
      </c>
      <c r="M110" s="15"/>
      <c r="N110" s="11"/>
      <c r="O110" s="11"/>
      <c r="P110" s="11"/>
      <c r="Q110" s="11"/>
      <c r="R110" s="11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31"/>
    </row>
    <row r="111" spans="1:31" s="2" customFormat="1" ht="13.5">
      <c r="A111" s="31"/>
      <c r="B111" s="11"/>
      <c r="C111" s="11"/>
      <c r="D111" s="11"/>
      <c r="E111" s="11"/>
      <c r="F111" s="11"/>
      <c r="G111" s="14"/>
      <c r="H111" s="14"/>
      <c r="I111" s="11"/>
      <c r="J111" s="11"/>
      <c r="K111" s="11"/>
      <c r="L111" s="11"/>
      <c r="M111" s="15"/>
      <c r="N111" s="11"/>
      <c r="O111" s="11"/>
      <c r="P111" s="11"/>
      <c r="Q111" s="11"/>
      <c r="R111" s="11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31"/>
    </row>
    <row r="112" spans="1:31" s="2" customFormat="1" ht="13.5">
      <c r="A112" s="31"/>
      <c r="B112" s="11"/>
      <c r="C112" s="11" t="s">
        <v>68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200">
        <f>IF('演算'!G236="OVER","",IF(W108=0,"※　④は記入できません",""))</f>
      </c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31"/>
    </row>
    <row r="113" spans="1:32" s="2" customFormat="1" ht="13.5">
      <c r="A113" s="31"/>
      <c r="B113" s="11"/>
      <c r="C113" s="1162"/>
      <c r="D113" s="1163"/>
      <c r="E113" s="1163"/>
      <c r="F113" s="1164"/>
      <c r="G113" s="198">
        <f>IF('演算'!G236="OVER","",IF((W108+2)/'演算'!L32=1,"※ 担当者は１名しか記入できません",IF(LEN(C113)&gt;'演算'!L40,"←文字数が多過ぎます","")))</f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201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40"/>
      <c r="AE113" s="34"/>
      <c r="AF113" s="3"/>
    </row>
    <row r="114" spans="1:32" s="2" customFormat="1" ht="13.5">
      <c r="A114" s="31"/>
      <c r="B114" s="11"/>
      <c r="C114" s="1162"/>
      <c r="D114" s="1163"/>
      <c r="E114" s="1163"/>
      <c r="F114" s="1164"/>
      <c r="G114" s="198">
        <f>IF('演算'!G236="OVER","",IF((W108+2)/'演算'!L32=2,"※ 担当者は2名しか記入できません",IF(LEN(C114)&gt;'演算'!L40,"←文字数が多過ぎます","")))</f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202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34"/>
      <c r="AF114" s="3"/>
    </row>
    <row r="115" spans="1:32" s="2" customFormat="1" ht="13.5">
      <c r="A115" s="31"/>
      <c r="B115" s="11"/>
      <c r="C115" s="1162"/>
      <c r="D115" s="1163"/>
      <c r="E115" s="1163"/>
      <c r="F115" s="1164"/>
      <c r="G115" s="198">
        <f>IF('演算'!G236="OVER","",IF((W108+2)/'演算'!L32=3,"※ 担当者は3名しか記入できません",IF(LEN(C115)&gt;'演算'!L40,"←文字数が多過ぎます","")))</f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202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34"/>
      <c r="AF115" s="3"/>
    </row>
    <row r="116" spans="1:32" s="2" customFormat="1" ht="13.5">
      <c r="A116" s="31"/>
      <c r="B116" s="11"/>
      <c r="C116" s="1162"/>
      <c r="D116" s="1163"/>
      <c r="E116" s="1163"/>
      <c r="F116" s="1164"/>
      <c r="G116" s="198">
        <f>IF('演算'!G236="OVER","",IF('演算'!O165="OVER","※ 担当者の人数が多過ぎます",IF(LEN(C116)&gt;'演算'!L40,"←文字数が多過ぎます","")))</f>
      </c>
      <c r="H116" s="22"/>
      <c r="I116" s="7"/>
      <c r="J116" s="7"/>
      <c r="K116" s="7"/>
      <c r="L116" s="7"/>
      <c r="M116" s="7"/>
      <c r="N116" s="7"/>
      <c r="O116" s="7"/>
      <c r="P116" s="7"/>
      <c r="Q116" s="7"/>
      <c r="R116" s="202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34"/>
      <c r="AF116" s="3"/>
    </row>
    <row r="117" spans="1:31" s="2" customFormat="1" ht="13.5">
      <c r="A117" s="31"/>
      <c r="B117" s="11"/>
      <c r="C117" s="64"/>
      <c r="D117" s="64"/>
      <c r="E117" s="64"/>
      <c r="F117" s="11"/>
      <c r="G117" s="1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99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31"/>
    </row>
    <row r="118" spans="1:31" s="2" customFormat="1" ht="13.5">
      <c r="A118" s="31"/>
      <c r="B118" s="11"/>
      <c r="C118" s="64" t="s">
        <v>69</v>
      </c>
      <c r="D118" s="64"/>
      <c r="E118" s="64"/>
      <c r="F118" s="11"/>
      <c r="G118" s="1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200">
        <f>IF('演算'!G236="OVER","",IF(W108=0,"※　④は記入できません",""))</f>
      </c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31"/>
    </row>
    <row r="119" spans="1:31" s="2" customFormat="1" ht="13.5">
      <c r="A119" s="31"/>
      <c r="B119" s="11"/>
      <c r="C119" s="1159"/>
      <c r="D119" s="1160"/>
      <c r="E119" s="1160"/>
      <c r="F119" s="1161"/>
      <c r="G119" s="200">
        <f>IF('演算'!G236="OVER","",IF((W108+2)/'演算'!L32=1,"※ 頻度はひとつしか記入できません",IF(LEN(C119)&gt;'演算'!L49,"←文字数が多過ぎます","")))</f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31"/>
    </row>
    <row r="120" spans="1:31" s="2" customFormat="1" ht="13.5">
      <c r="A120" s="31"/>
      <c r="B120" s="11"/>
      <c r="C120" s="1159"/>
      <c r="D120" s="1160"/>
      <c r="E120" s="1160"/>
      <c r="F120" s="1161"/>
      <c r="G120" s="200">
        <f>IF('演算'!G236="OVER","",IF('演算'!O176="OVER","※ 頻度の記入数が多過ぎます",IF(LEN(C120)&gt;'演算'!L49,"←文字数が多過ぎます","")))</f>
      </c>
      <c r="H120" s="15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31"/>
    </row>
    <row r="121" spans="1:31" s="2" customFormat="1" ht="13.5">
      <c r="A121" s="3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31"/>
    </row>
    <row r="122" spans="1:31" s="2" customFormat="1" ht="13.5">
      <c r="A122" s="31"/>
      <c r="B122" s="11"/>
      <c r="C122" s="11" t="s">
        <v>470</v>
      </c>
      <c r="D122" s="11"/>
      <c r="E122" s="11"/>
      <c r="F122" s="11"/>
      <c r="G122" s="11"/>
      <c r="H122" s="11"/>
      <c r="I122" s="11"/>
      <c r="J122" s="11"/>
      <c r="K122" s="11"/>
      <c r="L122" s="15" t="str">
        <f>IF('演算'!G236="OVER","",IF(W108=0,"※　④は記入できません","　"))</f>
        <v>　</v>
      </c>
      <c r="M122" s="11"/>
      <c r="N122" s="11"/>
      <c r="O122" s="11"/>
      <c r="P122" s="11"/>
      <c r="Q122" s="11"/>
      <c r="R122" s="11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31"/>
    </row>
    <row r="123" spans="1:31" s="63" customFormat="1" ht="13.5">
      <c r="A123" s="58"/>
      <c r="B123" s="59"/>
      <c r="C123" s="60" t="s">
        <v>415</v>
      </c>
      <c r="D123" s="1170"/>
      <c r="E123" s="1171"/>
      <c r="F123" s="61" t="s">
        <v>406</v>
      </c>
      <c r="G123" s="1170"/>
      <c r="H123" s="1171"/>
      <c r="I123" s="62" t="s">
        <v>409</v>
      </c>
      <c r="J123" s="1132" t="s">
        <v>497</v>
      </c>
      <c r="K123" s="1132"/>
      <c r="L123" s="1132" t="s">
        <v>416</v>
      </c>
      <c r="M123" s="1132"/>
      <c r="N123" s="1170"/>
      <c r="O123" s="1171"/>
      <c r="P123" s="59" t="s">
        <v>406</v>
      </c>
      <c r="Q123" s="1170"/>
      <c r="R123" s="1171"/>
      <c r="S123" s="141" t="s">
        <v>409</v>
      </c>
      <c r="T123" s="141"/>
      <c r="U123" s="141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58"/>
    </row>
    <row r="124" spans="1:31" s="2" customFormat="1" ht="13.5">
      <c r="A124" s="3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31"/>
    </row>
    <row r="125" spans="1:31" s="2" customFormat="1" ht="13.5">
      <c r="A125" s="31"/>
      <c r="B125" s="11"/>
      <c r="C125" s="11" t="s">
        <v>471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31"/>
    </row>
    <row r="126" spans="1:31" s="2" customFormat="1" ht="13.5">
      <c r="A126" s="31"/>
      <c r="B126" s="11"/>
      <c r="C126" s="55"/>
      <c r="D126" s="11"/>
      <c r="E126" s="15">
        <f>IF('演算'!G236="OVER","",IF(W108=0,"※　④は記入できません",IF(LEN(C126)&gt;1,"※ 達成度の文字数が多過ぎます","")))</f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31"/>
    </row>
    <row r="127" spans="1:31" s="2" customFormat="1" ht="14.25" customHeight="1">
      <c r="A127" s="31"/>
      <c r="B127" s="11"/>
      <c r="C127" s="11"/>
      <c r="D127" s="11"/>
      <c r="E127" s="15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31"/>
    </row>
    <row r="128" spans="1:31" s="2" customFormat="1" ht="13.5">
      <c r="A128" s="31"/>
      <c r="B128" s="35"/>
      <c r="C128" s="35"/>
      <c r="D128" s="35"/>
      <c r="E128" s="35"/>
      <c r="F128" s="35"/>
      <c r="G128" s="36"/>
      <c r="H128" s="36"/>
      <c r="I128" s="35"/>
      <c r="J128" s="35"/>
      <c r="K128" s="35"/>
      <c r="L128" s="35"/>
      <c r="M128" s="38"/>
      <c r="N128" s="35"/>
      <c r="O128" s="35"/>
      <c r="P128" s="35"/>
      <c r="Q128" s="35"/>
      <c r="R128" s="35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31"/>
    </row>
    <row r="129" spans="1:31" s="2" customFormat="1" ht="13.5">
      <c r="A129" s="31"/>
      <c r="B129" s="11"/>
      <c r="C129" s="15">
        <f>IF('演算'!$G$236="OVER","用紙の記入枠を超えているため、＃１は転記できません","")</f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31"/>
    </row>
    <row r="130" spans="1:32" s="2" customFormat="1" ht="13.5">
      <c r="A130" s="31"/>
      <c r="B130" s="11"/>
      <c r="C130" s="11" t="s">
        <v>183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27"/>
      <c r="T130" s="127"/>
      <c r="U130" s="127"/>
      <c r="V130" s="127"/>
      <c r="W130" s="1133">
        <f>'演算'!G190</f>
        <v>2563</v>
      </c>
      <c r="X130" s="1133"/>
      <c r="Y130" s="1133"/>
      <c r="Z130" s="127" t="s">
        <v>414</v>
      </c>
      <c r="AA130" s="127"/>
      <c r="AB130" s="127"/>
      <c r="AC130" s="127"/>
      <c r="AD130" s="134"/>
      <c r="AE130" s="29"/>
      <c r="AF130" s="5"/>
    </row>
    <row r="131" spans="1:32" s="2" customFormat="1" ht="94.5" customHeight="1">
      <c r="A131" s="31"/>
      <c r="B131" s="11"/>
      <c r="C131" s="1166"/>
      <c r="D131" s="1167"/>
      <c r="E131" s="1167"/>
      <c r="F131" s="1167"/>
      <c r="G131" s="1167"/>
      <c r="H131" s="1167"/>
      <c r="I131" s="1167"/>
      <c r="J131" s="1167"/>
      <c r="K131" s="1167"/>
      <c r="L131" s="1167"/>
      <c r="M131" s="1167"/>
      <c r="N131" s="1167"/>
      <c r="O131" s="1167"/>
      <c r="P131" s="1167"/>
      <c r="Q131" s="1167"/>
      <c r="R131" s="1167"/>
      <c r="S131" s="1167"/>
      <c r="T131" s="1167"/>
      <c r="U131" s="1167"/>
      <c r="V131" s="1167"/>
      <c r="W131" s="1167"/>
      <c r="X131" s="1167"/>
      <c r="Y131" s="1167"/>
      <c r="Z131" s="1167"/>
      <c r="AA131" s="1167"/>
      <c r="AB131" s="1167"/>
      <c r="AC131" s="1168"/>
      <c r="AD131" s="133"/>
      <c r="AE131" s="30"/>
      <c r="AF131" s="4"/>
    </row>
    <row r="132" spans="1:31" s="2" customFormat="1" ht="13.5">
      <c r="A132" s="31"/>
      <c r="B132" s="11"/>
      <c r="C132" s="11" t="s">
        <v>424</v>
      </c>
      <c r="D132" s="11"/>
      <c r="E132" s="11"/>
      <c r="F132" s="11"/>
      <c r="G132" s="1135">
        <f>LEN(C131)</f>
        <v>0</v>
      </c>
      <c r="H132" s="1135"/>
      <c r="I132" s="11" t="s">
        <v>412</v>
      </c>
      <c r="J132" s="11"/>
      <c r="K132" s="11"/>
      <c r="L132" s="15" t="str">
        <f>IF('演算'!G236="OVER","",IF(W130=0,"※　⑤は記入できません",IF(G132&gt;W130,"※　文字数が多過ぎます","　")))</f>
        <v>　</v>
      </c>
      <c r="M132" s="15"/>
      <c r="N132" s="11"/>
      <c r="O132" s="11"/>
      <c r="P132" s="11"/>
      <c r="Q132" s="11"/>
      <c r="R132" s="11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31"/>
    </row>
    <row r="133" spans="1:31" s="2" customFormat="1" ht="13.5">
      <c r="A133" s="31"/>
      <c r="B133" s="11"/>
      <c r="C133" s="11"/>
      <c r="D133" s="11"/>
      <c r="E133" s="11"/>
      <c r="F133" s="11"/>
      <c r="G133" s="14"/>
      <c r="H133" s="14"/>
      <c r="I133" s="11"/>
      <c r="J133" s="11"/>
      <c r="K133" s="11"/>
      <c r="L133" s="11"/>
      <c r="M133" s="15"/>
      <c r="N133" s="11"/>
      <c r="O133" s="11"/>
      <c r="P133" s="11"/>
      <c r="Q133" s="11"/>
      <c r="R133" s="11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31"/>
    </row>
    <row r="134" spans="1:31" s="2" customFormat="1" ht="13.5">
      <c r="A134" s="31"/>
      <c r="B134" s="11"/>
      <c r="C134" s="11" t="s">
        <v>184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200">
        <f>IF('演算'!G236="OVER","",IF(W130=0,"※　⑤は記入できません",""))</f>
      </c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31"/>
    </row>
    <row r="135" spans="1:32" s="2" customFormat="1" ht="13.5">
      <c r="A135" s="31"/>
      <c r="B135" s="11"/>
      <c r="C135" s="1162"/>
      <c r="D135" s="1163"/>
      <c r="E135" s="1163"/>
      <c r="F135" s="1164"/>
      <c r="G135" s="198">
        <f>IF('演算'!G236="OVER","",IF((W130+2)/'演算'!L32=1,"※ 担当者は１名しか記入できません",IF(LEN(C135)&gt;'演算'!L40,"←文字数が多過ぎます","")))</f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201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40"/>
      <c r="AE135" s="34"/>
      <c r="AF135" s="3"/>
    </row>
    <row r="136" spans="1:32" s="2" customFormat="1" ht="13.5">
      <c r="A136" s="31"/>
      <c r="B136" s="11"/>
      <c r="C136" s="1162"/>
      <c r="D136" s="1163"/>
      <c r="E136" s="1163"/>
      <c r="F136" s="1164"/>
      <c r="G136" s="198">
        <f>IF('演算'!G236="OVER","",IF((W130+2)/'演算'!L32=2,"※ 担当者は2名しか記入できません",IF(LEN(C136)&gt;'演算'!L40,"←文字数が多過ぎます","")))</f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202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34"/>
      <c r="AF136" s="3"/>
    </row>
    <row r="137" spans="1:32" s="2" customFormat="1" ht="13.5">
      <c r="A137" s="31"/>
      <c r="B137" s="11"/>
      <c r="C137" s="1162"/>
      <c r="D137" s="1163"/>
      <c r="E137" s="1163"/>
      <c r="F137" s="1164"/>
      <c r="G137" s="198">
        <f>IF('演算'!G236="OVER","",IF((W130+2)/'演算'!L32=3,"※ 担当者は3名しか記入できません",IF(LEN(C137)&gt;'演算'!L40,"←文字数が多過ぎます","")))</f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202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34"/>
      <c r="AF137" s="3"/>
    </row>
    <row r="138" spans="1:32" s="2" customFormat="1" ht="13.5">
      <c r="A138" s="31"/>
      <c r="B138" s="11"/>
      <c r="C138" s="1162"/>
      <c r="D138" s="1163"/>
      <c r="E138" s="1163"/>
      <c r="F138" s="1164"/>
      <c r="G138" s="198">
        <f>IF('演算'!G236="OVER","",IF('演算'!O205="OVER","※ 担当者の数が多過ぎます",IF(LEN(C138)&gt;'演算'!L40,"←文字数が多過ぎます","")))</f>
      </c>
      <c r="H138" s="22"/>
      <c r="I138" s="7"/>
      <c r="J138" s="7"/>
      <c r="K138" s="7"/>
      <c r="L138" s="7"/>
      <c r="M138" s="7"/>
      <c r="N138" s="7"/>
      <c r="O138" s="7"/>
      <c r="P138" s="7"/>
      <c r="Q138" s="7"/>
      <c r="R138" s="202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34"/>
      <c r="AF138" s="3"/>
    </row>
    <row r="139" spans="1:31" s="2" customFormat="1" ht="13.5">
      <c r="A139" s="31"/>
      <c r="B139" s="11"/>
      <c r="C139" s="64"/>
      <c r="D139" s="64"/>
      <c r="E139" s="64"/>
      <c r="F139" s="11"/>
      <c r="G139" s="1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99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31"/>
    </row>
    <row r="140" spans="1:31" s="2" customFormat="1" ht="13.5">
      <c r="A140" s="31"/>
      <c r="B140" s="11"/>
      <c r="C140" s="64" t="s">
        <v>185</v>
      </c>
      <c r="D140" s="64"/>
      <c r="E140" s="64"/>
      <c r="F140" s="11"/>
      <c r="G140" s="1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200">
        <f>IF('演算'!G236="OVER","",IF(W130=0,"※　⑤は記入できません",""))</f>
      </c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31"/>
    </row>
    <row r="141" spans="1:31" s="2" customFormat="1" ht="13.5">
      <c r="A141" s="31"/>
      <c r="B141" s="11"/>
      <c r="C141" s="1159"/>
      <c r="D141" s="1160"/>
      <c r="E141" s="1160"/>
      <c r="F141" s="1161"/>
      <c r="G141" s="200">
        <f>IF('演算'!G236="OVER","",IF((W130+2)/'演算'!L32=1,"※ 頻度はひとつしか記入できません",IF(LEN(C141)&gt;'演算'!L49,"←文字数が多過ぎます","")))</f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31"/>
    </row>
    <row r="142" spans="1:31" s="2" customFormat="1" ht="13.5">
      <c r="A142" s="31"/>
      <c r="B142" s="11"/>
      <c r="C142" s="1159"/>
      <c r="D142" s="1160"/>
      <c r="E142" s="1160"/>
      <c r="F142" s="1161"/>
      <c r="G142" s="200">
        <f>IF('演算'!G236="OVER","",IF('演算'!O216="OVER","※ 頻度の記入数が多過ぎます",IF(LEN(C142)&gt;'演算'!L49,"←文字数が多過ぎます","")))</f>
      </c>
      <c r="H142" s="15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31"/>
    </row>
    <row r="143" spans="1:31" s="2" customFormat="1" ht="13.5">
      <c r="A143" s="3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31"/>
    </row>
    <row r="144" spans="1:31" s="2" customFormat="1" ht="13.5">
      <c r="A144" s="31"/>
      <c r="B144" s="11"/>
      <c r="C144" s="11" t="s">
        <v>186</v>
      </c>
      <c r="D144" s="11"/>
      <c r="E144" s="11"/>
      <c r="F144" s="11"/>
      <c r="G144" s="11"/>
      <c r="H144" s="11"/>
      <c r="I144" s="11"/>
      <c r="J144" s="11"/>
      <c r="K144" s="11"/>
      <c r="L144" s="15" t="str">
        <f>IF('演算'!G236="OVER","",IF(W130=0,"※　⑤は記入できません","　"))</f>
        <v>　</v>
      </c>
      <c r="M144" s="11"/>
      <c r="N144" s="11"/>
      <c r="O144" s="11"/>
      <c r="P144" s="11"/>
      <c r="Q144" s="11"/>
      <c r="R144" s="11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31"/>
    </row>
    <row r="145" spans="1:31" s="63" customFormat="1" ht="13.5">
      <c r="A145" s="58"/>
      <c r="B145" s="59"/>
      <c r="C145" s="60" t="s">
        <v>415</v>
      </c>
      <c r="D145" s="1170"/>
      <c r="E145" s="1171"/>
      <c r="F145" s="61" t="s">
        <v>406</v>
      </c>
      <c r="G145" s="1170"/>
      <c r="H145" s="1171"/>
      <c r="I145" s="62" t="s">
        <v>409</v>
      </c>
      <c r="J145" s="1132" t="s">
        <v>497</v>
      </c>
      <c r="K145" s="1132"/>
      <c r="L145" s="1132" t="s">
        <v>416</v>
      </c>
      <c r="M145" s="1132"/>
      <c r="N145" s="1170"/>
      <c r="O145" s="1171"/>
      <c r="P145" s="59" t="s">
        <v>406</v>
      </c>
      <c r="Q145" s="1170"/>
      <c r="R145" s="1171"/>
      <c r="S145" s="141" t="s">
        <v>409</v>
      </c>
      <c r="T145" s="141"/>
      <c r="U145" s="141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58"/>
    </row>
    <row r="146" spans="1:31" s="2" customFormat="1" ht="13.5">
      <c r="A146" s="3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31"/>
    </row>
    <row r="147" spans="1:31" s="2" customFormat="1" ht="13.5">
      <c r="A147" s="31"/>
      <c r="B147" s="11"/>
      <c r="C147" s="11" t="s">
        <v>187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31"/>
    </row>
    <row r="148" spans="1:31" s="2" customFormat="1" ht="13.5">
      <c r="A148" s="31"/>
      <c r="B148" s="11"/>
      <c r="C148" s="55"/>
      <c r="D148" s="11"/>
      <c r="E148" s="15">
        <f>IF('演算'!G236="OVER","",IF(W130=0,"※　⑤は記入できません",IF(LEN(C148)&gt;1,"達成度の文字数が多過ぎます","")))</f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31"/>
    </row>
    <row r="149" spans="1:31" s="2" customFormat="1" ht="14.25" customHeight="1">
      <c r="A149" s="31"/>
      <c r="B149" s="11"/>
      <c r="C149" s="11"/>
      <c r="D149" s="11"/>
      <c r="E149" s="15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31"/>
    </row>
    <row r="150" spans="1:31" s="2" customFormat="1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31"/>
    </row>
    <row r="151" spans="1:31" s="2" customFormat="1" ht="13.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39"/>
    </row>
    <row r="152" spans="1:31" s="2" customFormat="1" ht="13.5">
      <c r="A152" s="39"/>
      <c r="B152" s="49"/>
      <c r="C152" s="51">
        <f>IF('演算'!$G$503="OVER","用紙の記入枠を超えているため、＃２は転記できません","")</f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39"/>
    </row>
    <row r="153" spans="1:31" s="2" customFormat="1" ht="13.5">
      <c r="A153" s="39"/>
      <c r="B153" s="49"/>
      <c r="C153" s="49" t="s">
        <v>429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1128">
        <f>'演算'!G251</f>
        <v>1581</v>
      </c>
      <c r="O153" s="1128"/>
      <c r="P153" s="49" t="s">
        <v>414</v>
      </c>
      <c r="Q153" s="53"/>
      <c r="R153" s="53"/>
      <c r="S153" s="145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39"/>
    </row>
    <row r="154" spans="1:32" s="2" customFormat="1" ht="82.5" customHeight="1">
      <c r="A154" s="39"/>
      <c r="B154" s="49"/>
      <c r="C154" s="1166"/>
      <c r="D154" s="1167"/>
      <c r="E154" s="1167"/>
      <c r="F154" s="1167"/>
      <c r="G154" s="1167"/>
      <c r="H154" s="1167"/>
      <c r="I154" s="1167"/>
      <c r="J154" s="1167"/>
      <c r="K154" s="1167"/>
      <c r="L154" s="1167"/>
      <c r="M154" s="1167"/>
      <c r="N154" s="1167"/>
      <c r="O154" s="1167"/>
      <c r="P154" s="1167"/>
      <c r="Q154" s="1167"/>
      <c r="R154" s="1167"/>
      <c r="S154" s="1167"/>
      <c r="T154" s="1167"/>
      <c r="U154" s="1167"/>
      <c r="V154" s="1167"/>
      <c r="W154" s="1167"/>
      <c r="X154" s="1167"/>
      <c r="Y154" s="1167"/>
      <c r="Z154" s="1167"/>
      <c r="AA154" s="1167"/>
      <c r="AB154" s="1167"/>
      <c r="AC154" s="1168"/>
      <c r="AD154" s="146"/>
      <c r="AE154" s="40"/>
      <c r="AF154" s="5"/>
    </row>
    <row r="155" spans="1:32" s="2" customFormat="1" ht="13.5">
      <c r="A155" s="39"/>
      <c r="B155" s="49"/>
      <c r="C155" s="49" t="s">
        <v>411</v>
      </c>
      <c r="D155" s="49"/>
      <c r="E155" s="49"/>
      <c r="F155" s="49"/>
      <c r="G155" s="1127">
        <f>LEN(C154)</f>
        <v>0</v>
      </c>
      <c r="H155" s="1127"/>
      <c r="I155" s="49" t="s">
        <v>412</v>
      </c>
      <c r="J155" s="49"/>
      <c r="K155" s="49"/>
      <c r="L155" s="49"/>
      <c r="M155" s="51" t="str">
        <f>IF('演算'!G503="OVER","",IF(N153=0,"＃２は記入できません",IF(G155&gt;N153,"※　文字数が多過ぎます"," ")))</f>
        <v> </v>
      </c>
      <c r="N155" s="49"/>
      <c r="O155" s="49"/>
      <c r="P155" s="49"/>
      <c r="Q155" s="49"/>
      <c r="R155" s="49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7"/>
      <c r="AE155" s="41"/>
      <c r="AF155" s="5"/>
    </row>
    <row r="156" spans="1:32" s="2" customFormat="1" ht="13.5">
      <c r="A156" s="39"/>
      <c r="B156" s="49"/>
      <c r="C156" s="49"/>
      <c r="D156" s="49"/>
      <c r="E156" s="49"/>
      <c r="F156" s="49"/>
      <c r="G156" s="23"/>
      <c r="H156" s="23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7"/>
      <c r="AE156" s="41"/>
      <c r="AF156" s="5"/>
    </row>
    <row r="157" spans="1:32" s="2" customFormat="1" ht="13.5">
      <c r="A157" s="39"/>
      <c r="B157" s="39"/>
      <c r="C157" s="39"/>
      <c r="D157" s="39"/>
      <c r="E157" s="39"/>
      <c r="F157" s="39"/>
      <c r="G157" s="44"/>
      <c r="H157" s="44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8"/>
      <c r="AE157" s="41"/>
      <c r="AF157" s="5"/>
    </row>
    <row r="158" spans="1:32" s="2" customFormat="1" ht="13.5">
      <c r="A158" s="39"/>
      <c r="B158" s="49"/>
      <c r="C158" s="51">
        <f>IF('演算'!$G$503="OVER","用紙の記入枠を超えているため、＃２は転記できません","")</f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7"/>
      <c r="AE158" s="41"/>
      <c r="AF158" s="5"/>
    </row>
    <row r="159" spans="1:32" s="2" customFormat="1" ht="13.5">
      <c r="A159" s="39"/>
      <c r="B159" s="49"/>
      <c r="C159" s="49" t="s">
        <v>430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144"/>
      <c r="T159" s="144"/>
      <c r="U159" s="1130">
        <f>'演算'!G261</f>
        <v>1320</v>
      </c>
      <c r="V159" s="1130"/>
      <c r="W159" s="1130"/>
      <c r="X159" s="144" t="s">
        <v>413</v>
      </c>
      <c r="Y159" s="144"/>
      <c r="Z159" s="144"/>
      <c r="AA159" s="144"/>
      <c r="AB159" s="144"/>
      <c r="AC159" s="144"/>
      <c r="AD159" s="147"/>
      <c r="AE159" s="41"/>
      <c r="AF159" s="5"/>
    </row>
    <row r="160" spans="1:32" s="2" customFormat="1" ht="95.25" customHeight="1">
      <c r="A160" s="39"/>
      <c r="B160" s="49"/>
      <c r="C160" s="1166"/>
      <c r="D160" s="1167"/>
      <c r="E160" s="1167"/>
      <c r="F160" s="1167"/>
      <c r="G160" s="1167"/>
      <c r="H160" s="1167"/>
      <c r="I160" s="1167"/>
      <c r="J160" s="1167"/>
      <c r="K160" s="1167"/>
      <c r="L160" s="1167"/>
      <c r="M160" s="1167"/>
      <c r="N160" s="1167"/>
      <c r="O160" s="1167"/>
      <c r="P160" s="1167"/>
      <c r="Q160" s="1167"/>
      <c r="R160" s="1167"/>
      <c r="S160" s="1167"/>
      <c r="T160" s="1167"/>
      <c r="U160" s="1167"/>
      <c r="V160" s="1167"/>
      <c r="W160" s="1167"/>
      <c r="X160" s="1167"/>
      <c r="Y160" s="1167"/>
      <c r="Z160" s="1167"/>
      <c r="AA160" s="1167"/>
      <c r="AB160" s="1167"/>
      <c r="AC160" s="1168"/>
      <c r="AD160" s="146"/>
      <c r="AE160" s="40"/>
      <c r="AF160" s="5"/>
    </row>
    <row r="161" spans="1:32" s="2" customFormat="1" ht="13.5">
      <c r="A161" s="39"/>
      <c r="B161" s="49"/>
      <c r="C161" s="49" t="s">
        <v>411</v>
      </c>
      <c r="D161" s="49"/>
      <c r="E161" s="49"/>
      <c r="F161" s="49"/>
      <c r="G161" s="1127">
        <f>LEN(C160)</f>
        <v>0</v>
      </c>
      <c r="H161" s="1127"/>
      <c r="I161" s="49" t="s">
        <v>412</v>
      </c>
      <c r="J161" s="49"/>
      <c r="K161" s="49"/>
      <c r="L161" s="49"/>
      <c r="M161" s="51" t="str">
        <f>IF('演算'!G503="OVER","",IF(U159=0,"＃２は記入できません",IF(G161&gt;U159,"※　文字数が多過ぎます"," ")))</f>
        <v> </v>
      </c>
      <c r="N161" s="49"/>
      <c r="O161" s="49"/>
      <c r="P161" s="49"/>
      <c r="Q161" s="49"/>
      <c r="R161" s="49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7"/>
      <c r="AE161" s="41"/>
      <c r="AF161" s="5"/>
    </row>
    <row r="162" spans="1:32" s="2" customFormat="1" ht="13.5">
      <c r="A162" s="3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7"/>
      <c r="AE162" s="41"/>
      <c r="AF162" s="5"/>
    </row>
    <row r="163" spans="1:32" s="2" customFormat="1" ht="13.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8"/>
      <c r="AE163" s="41"/>
      <c r="AF163" s="5"/>
    </row>
    <row r="164" spans="1:32" s="2" customFormat="1" ht="13.5">
      <c r="A164" s="39"/>
      <c r="B164" s="49"/>
      <c r="C164" s="51">
        <f>IF('演算'!$G$503="OVER","用紙の記入枠を超えているため、＃２は転記できません","")</f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7"/>
      <c r="AE164" s="41"/>
      <c r="AF164" s="5"/>
    </row>
    <row r="165" spans="1:32" s="2" customFormat="1" ht="13.5">
      <c r="A165" s="39"/>
      <c r="B165" s="49"/>
      <c r="C165" s="49" t="s">
        <v>431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144"/>
      <c r="T165" s="144"/>
      <c r="U165" s="1130">
        <f>'演算'!G272</f>
        <v>1320</v>
      </c>
      <c r="V165" s="1130"/>
      <c r="W165" s="1130"/>
      <c r="X165" s="144" t="s">
        <v>413</v>
      </c>
      <c r="Y165" s="144"/>
      <c r="Z165" s="144"/>
      <c r="AA165" s="144"/>
      <c r="AB165" s="144"/>
      <c r="AC165" s="144"/>
      <c r="AD165" s="147"/>
      <c r="AE165" s="41"/>
      <c r="AF165" s="5"/>
    </row>
    <row r="166" spans="1:32" s="2" customFormat="1" ht="69" customHeight="1">
      <c r="A166" s="39"/>
      <c r="B166" s="49"/>
      <c r="C166" s="1166"/>
      <c r="D166" s="1167"/>
      <c r="E166" s="1167"/>
      <c r="F166" s="1167"/>
      <c r="G166" s="1167"/>
      <c r="H166" s="1167"/>
      <c r="I166" s="1167"/>
      <c r="J166" s="1167"/>
      <c r="K166" s="1167"/>
      <c r="L166" s="1167"/>
      <c r="M166" s="1167"/>
      <c r="N166" s="1167"/>
      <c r="O166" s="1167"/>
      <c r="P166" s="1167"/>
      <c r="Q166" s="1167"/>
      <c r="R166" s="1167"/>
      <c r="S166" s="1167"/>
      <c r="T166" s="1167"/>
      <c r="U166" s="1167"/>
      <c r="V166" s="1167"/>
      <c r="W166" s="1167"/>
      <c r="X166" s="1167"/>
      <c r="Y166" s="1167"/>
      <c r="Z166" s="1167"/>
      <c r="AA166" s="1167"/>
      <c r="AB166" s="1167"/>
      <c r="AC166" s="1168"/>
      <c r="AD166" s="149"/>
      <c r="AE166" s="42"/>
      <c r="AF166" s="5"/>
    </row>
    <row r="167" spans="1:32" s="2" customFormat="1" ht="13.5">
      <c r="A167" s="39"/>
      <c r="B167" s="49"/>
      <c r="C167" s="49" t="s">
        <v>425</v>
      </c>
      <c r="D167" s="49"/>
      <c r="E167" s="49"/>
      <c r="F167" s="49"/>
      <c r="G167" s="1140">
        <f>LEN(C166)</f>
        <v>0</v>
      </c>
      <c r="H167" s="1140"/>
      <c r="I167" s="49" t="s">
        <v>412</v>
      </c>
      <c r="J167" s="49"/>
      <c r="K167" s="49"/>
      <c r="L167" s="49"/>
      <c r="M167" s="51" t="str">
        <f>IF('演算'!G503="OVER","",IF(U165=0,"＃２は記入できません",IF(G167&gt;U165,"※　文字数が多過ぎます"," ")))</f>
        <v> </v>
      </c>
      <c r="N167" s="49"/>
      <c r="O167" s="49"/>
      <c r="P167" s="49"/>
      <c r="Q167" s="49"/>
      <c r="R167" s="49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7"/>
      <c r="AE167" s="41"/>
      <c r="AF167" s="5"/>
    </row>
    <row r="168" spans="1:32" s="2" customFormat="1" ht="13.5">
      <c r="A168" s="39"/>
      <c r="B168" s="49"/>
      <c r="C168" s="49"/>
      <c r="D168" s="49"/>
      <c r="E168" s="49"/>
      <c r="F168" s="49"/>
      <c r="G168" s="50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7"/>
      <c r="AE168" s="41"/>
      <c r="AF168" s="5"/>
    </row>
    <row r="169" spans="1:32" s="2" customFormat="1" ht="13.5">
      <c r="A169" s="39"/>
      <c r="B169" s="39"/>
      <c r="C169" s="39"/>
      <c r="D169" s="39"/>
      <c r="E169" s="39"/>
      <c r="F169" s="39"/>
      <c r="G169" s="45"/>
      <c r="H169" s="45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8"/>
      <c r="AE169" s="41"/>
      <c r="AF169" s="5"/>
    </row>
    <row r="170" spans="1:32" s="2" customFormat="1" ht="13.5">
      <c r="A170" s="39"/>
      <c r="B170" s="49"/>
      <c r="C170" s="51">
        <f>IF('演算'!$G$503="OVER","用紙の記入枠を超えているため、＃２は転記できません","")</f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7"/>
      <c r="AE170" s="41"/>
      <c r="AF170" s="5"/>
    </row>
    <row r="171" spans="1:32" s="2" customFormat="1" ht="17.25">
      <c r="A171" s="39"/>
      <c r="B171" s="49"/>
      <c r="C171" s="49" t="s">
        <v>243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144"/>
      <c r="T171" s="144"/>
      <c r="U171" s="144"/>
      <c r="V171" s="144"/>
      <c r="W171" s="1130">
        <f>'演算'!G285</f>
        <v>2506</v>
      </c>
      <c r="X171" s="1130"/>
      <c r="Y171" s="1130"/>
      <c r="Z171" s="144" t="s">
        <v>414</v>
      </c>
      <c r="AA171" s="144"/>
      <c r="AB171" s="144"/>
      <c r="AC171" s="144"/>
      <c r="AD171" s="147"/>
      <c r="AE171" s="41"/>
      <c r="AF171" s="5"/>
    </row>
    <row r="172" spans="1:32" s="2" customFormat="1" ht="135.75" customHeight="1">
      <c r="A172" s="39"/>
      <c r="B172" s="49"/>
      <c r="C172" s="1166"/>
      <c r="D172" s="1167"/>
      <c r="E172" s="1167"/>
      <c r="F172" s="1167"/>
      <c r="G172" s="1167"/>
      <c r="H172" s="1167"/>
      <c r="I172" s="1167"/>
      <c r="J172" s="1167"/>
      <c r="K172" s="1167"/>
      <c r="L172" s="1167"/>
      <c r="M172" s="1167"/>
      <c r="N172" s="1167"/>
      <c r="O172" s="1167"/>
      <c r="P172" s="1167"/>
      <c r="Q172" s="1167"/>
      <c r="R172" s="1167"/>
      <c r="S172" s="1167"/>
      <c r="T172" s="1167"/>
      <c r="U172" s="1167"/>
      <c r="V172" s="1167"/>
      <c r="W172" s="1167"/>
      <c r="X172" s="1167"/>
      <c r="Y172" s="1167"/>
      <c r="Z172" s="1167"/>
      <c r="AA172" s="1167"/>
      <c r="AB172" s="1167"/>
      <c r="AC172" s="1168"/>
      <c r="AD172" s="146"/>
      <c r="AE172" s="40"/>
      <c r="AF172" s="4"/>
    </row>
    <row r="173" spans="1:31" s="2" customFormat="1" ht="13.5">
      <c r="A173" s="39"/>
      <c r="B173" s="49"/>
      <c r="C173" s="49" t="s">
        <v>424</v>
      </c>
      <c r="D173" s="49"/>
      <c r="E173" s="49"/>
      <c r="F173" s="49"/>
      <c r="G173" s="1140">
        <f>LEN(C172)</f>
        <v>0</v>
      </c>
      <c r="H173" s="1140"/>
      <c r="I173" s="49" t="s">
        <v>412</v>
      </c>
      <c r="J173" s="49"/>
      <c r="K173" s="49"/>
      <c r="L173" s="49"/>
      <c r="M173" s="51" t="str">
        <f>IF('演算'!G503="OVER","",IF(W171=0,"＃２は記入できません",IF(G173&gt;W171,"※　文字数が多過ぎます"," ")))</f>
        <v> </v>
      </c>
      <c r="N173" s="49"/>
      <c r="O173" s="49"/>
      <c r="P173" s="49"/>
      <c r="Q173" s="49"/>
      <c r="R173" s="49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39"/>
    </row>
    <row r="174" spans="1:31" s="2" customFormat="1" ht="13.5">
      <c r="A174" s="39"/>
      <c r="B174" s="49"/>
      <c r="C174" s="49"/>
      <c r="D174" s="49"/>
      <c r="E174" s="49"/>
      <c r="F174" s="49"/>
      <c r="G174" s="50"/>
      <c r="H174" s="50"/>
      <c r="I174" s="49"/>
      <c r="J174" s="49"/>
      <c r="K174" s="49"/>
      <c r="L174" s="49"/>
      <c r="M174" s="51"/>
      <c r="N174" s="49"/>
      <c r="O174" s="49"/>
      <c r="P174" s="49"/>
      <c r="Q174" s="49"/>
      <c r="R174" s="49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39"/>
    </row>
    <row r="175" spans="1:31" s="2" customFormat="1" ht="13.5">
      <c r="A175" s="39"/>
      <c r="B175" s="49"/>
      <c r="C175" s="49" t="s">
        <v>74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1">
        <f>IF('演算'!G503="OVER","",IF(W171=0,"＃２は記入できません",""))</f>
      </c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39"/>
    </row>
    <row r="176" spans="1:32" s="2" customFormat="1" ht="13.5">
      <c r="A176" s="39"/>
      <c r="B176" s="49"/>
      <c r="C176" s="1162"/>
      <c r="D176" s="1163"/>
      <c r="E176" s="1163"/>
      <c r="F176" s="1164"/>
      <c r="G176" s="57">
        <f>IF('演算'!G503="OVER","",IF((W171+2)/'演算'!$L$32=1,"担当者は１名しか記入できません",IF(LEN(C176)&gt;'演算'!$L$40,"←文字数が多過ぎます","")))</f>
      </c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50"/>
      <c r="AE176" s="43"/>
      <c r="AF176" s="3"/>
    </row>
    <row r="177" spans="1:32" s="2" customFormat="1" ht="13.5">
      <c r="A177" s="39"/>
      <c r="B177" s="49"/>
      <c r="C177" s="1162"/>
      <c r="D177" s="1163"/>
      <c r="E177" s="1163"/>
      <c r="F177" s="1164"/>
      <c r="G177" s="57">
        <f>IF('演算'!G503="OVER","",IF((W171+2)/'演算'!$L$32=2,"※ 担当者は2名しか記入できません",IF(LEN(C177)&gt;'演算'!$L$40,"←文字数が多過ぎます","")))</f>
      </c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43"/>
      <c r="AF177" s="3"/>
    </row>
    <row r="178" spans="1:32" s="2" customFormat="1" ht="13.5">
      <c r="A178" s="39"/>
      <c r="B178" s="49"/>
      <c r="C178" s="1162"/>
      <c r="D178" s="1163"/>
      <c r="E178" s="1163"/>
      <c r="F178" s="1164"/>
      <c r="G178" s="57">
        <f>IF('演算'!G503="OVER","",IF((W171+2)/'演算'!$L$32=3,"※ 担当者は3名しか記入できません",IF(LEN(C178)&gt;'演算'!$L$40,"←文字数が多過ぎます","")))</f>
      </c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43"/>
      <c r="AF178" s="3"/>
    </row>
    <row r="179" spans="1:32" s="2" customFormat="1" ht="13.5">
      <c r="A179" s="39"/>
      <c r="B179" s="49"/>
      <c r="C179" s="1162"/>
      <c r="D179" s="1163"/>
      <c r="E179" s="1163"/>
      <c r="F179" s="1164"/>
      <c r="G179" s="57">
        <f>IF('演算'!G503="OVER","",IF('演算'!O296="OVER","※ 担当者の人数が多過ぎます",IF(LEN(C179)&gt;'演算'!$L$40,"←文字数が多過ぎます","")))</f>
      </c>
      <c r="H179" s="57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43"/>
      <c r="AF179" s="3"/>
    </row>
    <row r="180" spans="1:31" s="2" customFormat="1" ht="13.5">
      <c r="A180" s="3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39"/>
    </row>
    <row r="181" spans="1:31" s="2" customFormat="1" ht="13.5">
      <c r="A181" s="39"/>
      <c r="B181" s="49"/>
      <c r="C181" s="49" t="s">
        <v>75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1">
        <f>IF('演算'!G503="OVER","",IF(W171=0,"＃２は記入できません",""))</f>
      </c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39"/>
    </row>
    <row r="182" spans="1:31" s="2" customFormat="1" ht="13.5">
      <c r="A182" s="39"/>
      <c r="B182" s="49"/>
      <c r="C182" s="1159"/>
      <c r="D182" s="1160"/>
      <c r="E182" s="1160"/>
      <c r="F182" s="1161"/>
      <c r="G182" s="51">
        <f>IF('演算'!G503="OVER","",IF((W171+2)/'演算'!$L$32=1,"※ 頻度はひとつしか記入できません",IF(LEN(C182)&gt;'演算'!$L$49,"←文字数が多過ぎます","")))</f>
      </c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39"/>
    </row>
    <row r="183" spans="1:31" s="2" customFormat="1" ht="13.5">
      <c r="A183" s="39"/>
      <c r="B183" s="49"/>
      <c r="C183" s="1159"/>
      <c r="D183" s="1160"/>
      <c r="E183" s="1160"/>
      <c r="F183" s="1161"/>
      <c r="G183" s="51">
        <f>IF('演算'!G503="OVER","",IF('演算'!O307="OVER","※ 頻度の記入数が多過ぎます",IF(LEN(C183)&gt;'演算'!$L$49,"←文字数が多過ぎます","")))</f>
      </c>
      <c r="H183" s="51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39"/>
    </row>
    <row r="184" spans="1:31" s="2" customFormat="1" ht="13.5">
      <c r="A184" s="3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39"/>
    </row>
    <row r="185" spans="1:31" s="2" customFormat="1" ht="13.5">
      <c r="A185" s="39"/>
      <c r="B185" s="49"/>
      <c r="C185" s="49" t="s">
        <v>488</v>
      </c>
      <c r="D185" s="49"/>
      <c r="E185" s="49"/>
      <c r="F185" s="49"/>
      <c r="G185" s="49"/>
      <c r="H185" s="49"/>
      <c r="I185" s="49"/>
      <c r="J185" s="49"/>
      <c r="K185" s="49"/>
      <c r="L185" s="51" t="str">
        <f>IF('演算'!G503="OVER","",IF(W171=0,"＃２は記入できません","　"))</f>
        <v>　</v>
      </c>
      <c r="M185" s="49"/>
      <c r="N185" s="49"/>
      <c r="O185" s="49"/>
      <c r="P185" s="49"/>
      <c r="Q185" s="49"/>
      <c r="R185" s="49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39"/>
    </row>
    <row r="186" spans="1:31" s="63" customFormat="1" ht="13.5">
      <c r="A186" s="117"/>
      <c r="B186" s="118"/>
      <c r="C186" s="119" t="s">
        <v>415</v>
      </c>
      <c r="D186" s="1170"/>
      <c r="E186" s="1171"/>
      <c r="F186" s="120" t="s">
        <v>406</v>
      </c>
      <c r="G186" s="1170"/>
      <c r="H186" s="1171"/>
      <c r="I186" s="121" t="s">
        <v>409</v>
      </c>
      <c r="J186" s="1145" t="s">
        <v>497</v>
      </c>
      <c r="K186" s="1145"/>
      <c r="L186" s="1145" t="s">
        <v>416</v>
      </c>
      <c r="M186" s="1145"/>
      <c r="N186" s="1170"/>
      <c r="O186" s="1171"/>
      <c r="P186" s="118" t="s">
        <v>406</v>
      </c>
      <c r="Q186" s="1170"/>
      <c r="R186" s="1171"/>
      <c r="S186" s="151" t="s">
        <v>409</v>
      </c>
      <c r="T186" s="151"/>
      <c r="U186" s="151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17"/>
    </row>
    <row r="187" spans="1:31" s="2" customFormat="1" ht="13.5">
      <c r="A187" s="3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39"/>
    </row>
    <row r="188" spans="1:31" s="2" customFormat="1" ht="13.5">
      <c r="A188" s="39"/>
      <c r="B188" s="49"/>
      <c r="C188" s="49" t="s">
        <v>489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39"/>
    </row>
    <row r="189" spans="1:31" s="2" customFormat="1" ht="13.5">
      <c r="A189" s="39"/>
      <c r="B189" s="49"/>
      <c r="C189" s="55"/>
      <c r="D189" s="49"/>
      <c r="E189" s="51">
        <f>IF('演算'!G503="OVER","",IF(W171=0,"＃２は記入できません",IF(LEN(C189)&gt;1,"※ 達成度の文字数が多過ぎます","")))</f>
      </c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39"/>
    </row>
    <row r="190" spans="1:31" s="2" customFormat="1" ht="13.5">
      <c r="A190" s="39"/>
      <c r="B190" s="49"/>
      <c r="C190" s="49"/>
      <c r="D190" s="49"/>
      <c r="E190" s="51"/>
      <c r="F190" s="49"/>
      <c r="G190" s="50"/>
      <c r="H190" s="50"/>
      <c r="I190" s="49"/>
      <c r="J190" s="49"/>
      <c r="K190" s="49"/>
      <c r="L190" s="49"/>
      <c r="M190" s="51"/>
      <c r="N190" s="49"/>
      <c r="O190" s="49"/>
      <c r="P190" s="49"/>
      <c r="Q190" s="49"/>
      <c r="R190" s="49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39"/>
    </row>
    <row r="191" spans="1:31" s="2" customFormat="1" ht="13.5">
      <c r="A191" s="39"/>
      <c r="B191" s="46"/>
      <c r="C191" s="46"/>
      <c r="D191" s="46"/>
      <c r="E191" s="46"/>
      <c r="F191" s="46"/>
      <c r="G191" s="47"/>
      <c r="H191" s="47"/>
      <c r="I191" s="46"/>
      <c r="J191" s="46"/>
      <c r="K191" s="46"/>
      <c r="L191" s="46"/>
      <c r="M191" s="48"/>
      <c r="N191" s="46"/>
      <c r="O191" s="46"/>
      <c r="P191" s="46"/>
      <c r="Q191" s="46"/>
      <c r="R191" s="46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39"/>
    </row>
    <row r="192" spans="1:31" s="2" customFormat="1" ht="13.5">
      <c r="A192" s="39"/>
      <c r="B192" s="49"/>
      <c r="C192" s="51">
        <f>IF('演算'!$G$503="OVER","用紙の記入枠を超えているため、＃２は転記できません","")</f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39"/>
    </row>
    <row r="193" spans="1:32" s="2" customFormat="1" ht="17.25">
      <c r="A193" s="39"/>
      <c r="B193" s="49"/>
      <c r="C193" s="49" t="s">
        <v>242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144"/>
      <c r="T193" s="144"/>
      <c r="U193" s="144"/>
      <c r="V193" s="144"/>
      <c r="W193" s="1130">
        <f>'演算'!G329</f>
        <v>2506</v>
      </c>
      <c r="X193" s="1130"/>
      <c r="Y193" s="1130"/>
      <c r="Z193" s="144" t="s">
        <v>414</v>
      </c>
      <c r="AA193" s="144"/>
      <c r="AB193" s="144"/>
      <c r="AC193" s="144"/>
      <c r="AD193" s="147"/>
      <c r="AE193" s="41"/>
      <c r="AF193" s="5"/>
    </row>
    <row r="194" spans="1:32" s="2" customFormat="1" ht="94.5" customHeight="1">
      <c r="A194" s="39"/>
      <c r="B194" s="49"/>
      <c r="C194" s="1166"/>
      <c r="D194" s="1167"/>
      <c r="E194" s="1167"/>
      <c r="F194" s="1167"/>
      <c r="G194" s="1167"/>
      <c r="H194" s="1167"/>
      <c r="I194" s="1167"/>
      <c r="J194" s="1167"/>
      <c r="K194" s="1167"/>
      <c r="L194" s="1167"/>
      <c r="M194" s="1167"/>
      <c r="N194" s="1167"/>
      <c r="O194" s="1167"/>
      <c r="P194" s="1167"/>
      <c r="Q194" s="1167"/>
      <c r="R194" s="1167"/>
      <c r="S194" s="1167"/>
      <c r="T194" s="1167"/>
      <c r="U194" s="1167"/>
      <c r="V194" s="1167"/>
      <c r="W194" s="1167"/>
      <c r="X194" s="1167"/>
      <c r="Y194" s="1167"/>
      <c r="Z194" s="1167"/>
      <c r="AA194" s="1167"/>
      <c r="AB194" s="1167"/>
      <c r="AC194" s="1168"/>
      <c r="AD194" s="146"/>
      <c r="AE194" s="40"/>
      <c r="AF194" s="4"/>
    </row>
    <row r="195" spans="1:31" s="2" customFormat="1" ht="13.5">
      <c r="A195" s="39"/>
      <c r="B195" s="49"/>
      <c r="C195" s="49" t="s">
        <v>424</v>
      </c>
      <c r="D195" s="49"/>
      <c r="E195" s="49"/>
      <c r="F195" s="49"/>
      <c r="G195" s="1140">
        <f>LEN(C194)</f>
        <v>0</v>
      </c>
      <c r="H195" s="1140"/>
      <c r="I195" s="49" t="s">
        <v>412</v>
      </c>
      <c r="J195" s="49"/>
      <c r="K195" s="49"/>
      <c r="L195" s="49"/>
      <c r="M195" s="51" t="str">
        <f>IF('演算'!G503="OVER","",IF(W193=0,"※　②は記入できません",IF(G195&gt;W193,"※　文字数が多過ぎます"," ")))</f>
        <v> </v>
      </c>
      <c r="N195" s="49"/>
      <c r="O195" s="49"/>
      <c r="P195" s="49"/>
      <c r="Q195" s="49"/>
      <c r="R195" s="49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39"/>
    </row>
    <row r="196" spans="1:31" s="2" customFormat="1" ht="13.5">
      <c r="A196" s="39"/>
      <c r="B196" s="49"/>
      <c r="C196" s="49"/>
      <c r="D196" s="49"/>
      <c r="E196" s="49"/>
      <c r="F196" s="49"/>
      <c r="G196" s="50"/>
      <c r="H196" s="50"/>
      <c r="I196" s="49"/>
      <c r="J196" s="49"/>
      <c r="K196" s="49"/>
      <c r="L196" s="49"/>
      <c r="M196" s="51"/>
      <c r="N196" s="49"/>
      <c r="O196" s="49"/>
      <c r="P196" s="49"/>
      <c r="Q196" s="49"/>
      <c r="R196" s="49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39"/>
    </row>
    <row r="197" spans="1:31" s="2" customFormat="1" ht="13.5">
      <c r="A197" s="39"/>
      <c r="B197" s="49"/>
      <c r="C197" s="49" t="s">
        <v>76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51">
        <f>IF('演算'!G503="OVER","",IF(W193=0,"※　②は記入できません",""))</f>
      </c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39"/>
    </row>
    <row r="198" spans="1:32" s="2" customFormat="1" ht="13.5">
      <c r="A198" s="39"/>
      <c r="B198" s="49"/>
      <c r="C198" s="1162"/>
      <c r="D198" s="1163"/>
      <c r="E198" s="1163"/>
      <c r="F198" s="1164"/>
      <c r="G198" s="57">
        <f>IF('演算'!G503="OVER","",IF((W193+2)/'演算'!$L$32=1,"担当者は１名しか記入できません",IF(LEN(C198)&gt;'演算'!$L$40,"←文字数が多過ぎます","")))</f>
      </c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50"/>
      <c r="AE198" s="43"/>
      <c r="AF198" s="3"/>
    </row>
    <row r="199" spans="1:32" s="2" customFormat="1" ht="13.5">
      <c r="A199" s="39"/>
      <c r="B199" s="49"/>
      <c r="C199" s="1162"/>
      <c r="D199" s="1163"/>
      <c r="E199" s="1163"/>
      <c r="F199" s="1164"/>
      <c r="G199" s="57">
        <f>IF('演算'!G503="OVER","",IF((W193+2)/'演算'!$L$32=2,"※ 担当者は2名しか記入できません",IF(LEN(C199)&gt;'演算'!$L$40,"←文字数が多過ぎます","")))</f>
      </c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43"/>
      <c r="AF199" s="3"/>
    </row>
    <row r="200" spans="1:32" s="2" customFormat="1" ht="13.5">
      <c r="A200" s="39"/>
      <c r="B200" s="49"/>
      <c r="C200" s="1162"/>
      <c r="D200" s="1163"/>
      <c r="E200" s="1163"/>
      <c r="F200" s="1164"/>
      <c r="G200" s="57">
        <f>IF('演算'!G503="OVER","",IF((W193+2)/'演算'!$L$32=3,"※ 担当者は3名しか記入できません",IF(LEN(C200)&gt;'演算'!$L$40,"←文字数が多過ぎます","")))</f>
      </c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43"/>
      <c r="AF200" s="3"/>
    </row>
    <row r="201" spans="1:32" s="2" customFormat="1" ht="13.5">
      <c r="A201" s="39"/>
      <c r="B201" s="49"/>
      <c r="C201" s="1162"/>
      <c r="D201" s="1163"/>
      <c r="E201" s="1163"/>
      <c r="F201" s="1164"/>
      <c r="G201" s="57">
        <f>IF('演算'!G503="OVER","",IF('演算'!O340="OVER","※ 担当者の人数が多過ぎます",IF(LEN(C201)&gt;'演算'!$L$40,"←文字数が多過ぎます","")))</f>
      </c>
      <c r="H201" s="57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43"/>
      <c r="AF201" s="3"/>
    </row>
    <row r="202" spans="1:31" s="2" customFormat="1" ht="13.5">
      <c r="A202" s="3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39"/>
    </row>
    <row r="203" spans="1:31" s="2" customFormat="1" ht="13.5">
      <c r="A203" s="39"/>
      <c r="B203" s="49"/>
      <c r="C203" s="49" t="s">
        <v>77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51">
        <f>IF('演算'!G503="OVER","",IF(W193=0,"※　②は記入できません",""))</f>
      </c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39"/>
    </row>
    <row r="204" spans="1:31" s="2" customFormat="1" ht="13.5">
      <c r="A204" s="39"/>
      <c r="B204" s="49"/>
      <c r="C204" s="1159"/>
      <c r="D204" s="1160"/>
      <c r="E204" s="1160"/>
      <c r="F204" s="1161"/>
      <c r="G204" s="51">
        <f>IF('演算'!G503="OVER","",IF((W193+2)/'演算'!$L$32=1,"※ 頻度はひとつしか記入できません",IF(LEN(C204)&gt;'演算'!$L$49,"←文字数が多過ぎます","")))</f>
      </c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39"/>
    </row>
    <row r="205" spans="1:31" s="2" customFormat="1" ht="13.5">
      <c r="A205" s="39"/>
      <c r="B205" s="49"/>
      <c r="C205" s="1159"/>
      <c r="D205" s="1160"/>
      <c r="E205" s="1160"/>
      <c r="F205" s="1161"/>
      <c r="G205" s="51">
        <f>IF('演算'!G503="OVER","",IF('演算'!O351="OVER","※ 頻度の記入数が多過ぎます",IF(LEN(C205)&gt;'演算'!$L$49,"←文字数が多過ぎます","")))</f>
      </c>
      <c r="H205" s="51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39"/>
    </row>
    <row r="206" spans="1:31" s="2" customFormat="1" ht="13.5">
      <c r="A206" s="3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39"/>
    </row>
    <row r="207" spans="1:31" s="2" customFormat="1" ht="13.5">
      <c r="A207" s="39"/>
      <c r="B207" s="49"/>
      <c r="C207" s="49" t="s">
        <v>490</v>
      </c>
      <c r="D207" s="49"/>
      <c r="E207" s="49"/>
      <c r="F207" s="49"/>
      <c r="G207" s="49"/>
      <c r="H207" s="49"/>
      <c r="I207" s="49"/>
      <c r="J207" s="49"/>
      <c r="K207" s="49"/>
      <c r="L207" s="51" t="str">
        <f>IF('演算'!G503="OVER","",IF(W193=0,"※　②は記入できません","　"))</f>
        <v>　</v>
      </c>
      <c r="M207" s="49"/>
      <c r="N207" s="49"/>
      <c r="O207" s="49"/>
      <c r="P207" s="49"/>
      <c r="Q207" s="49"/>
      <c r="R207" s="49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39"/>
    </row>
    <row r="208" spans="1:31" s="63" customFormat="1" ht="13.5">
      <c r="A208" s="117"/>
      <c r="B208" s="118"/>
      <c r="C208" s="119" t="s">
        <v>415</v>
      </c>
      <c r="D208" s="1170"/>
      <c r="E208" s="1171"/>
      <c r="F208" s="120" t="s">
        <v>406</v>
      </c>
      <c r="G208" s="1170"/>
      <c r="H208" s="1171"/>
      <c r="I208" s="121" t="s">
        <v>409</v>
      </c>
      <c r="J208" s="1145" t="s">
        <v>497</v>
      </c>
      <c r="K208" s="1145"/>
      <c r="L208" s="1145" t="s">
        <v>416</v>
      </c>
      <c r="M208" s="1145"/>
      <c r="N208" s="1170"/>
      <c r="O208" s="1171"/>
      <c r="P208" s="118" t="s">
        <v>406</v>
      </c>
      <c r="Q208" s="1170"/>
      <c r="R208" s="1171"/>
      <c r="S208" s="151" t="s">
        <v>409</v>
      </c>
      <c r="T208" s="151"/>
      <c r="U208" s="151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17"/>
    </row>
    <row r="209" spans="1:31" s="2" customFormat="1" ht="13.5">
      <c r="A209" s="3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39"/>
    </row>
    <row r="210" spans="1:31" s="2" customFormat="1" ht="13.5">
      <c r="A210" s="39"/>
      <c r="B210" s="49"/>
      <c r="C210" s="49" t="s">
        <v>492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39"/>
    </row>
    <row r="211" spans="1:31" s="2" customFormat="1" ht="13.5">
      <c r="A211" s="39"/>
      <c r="B211" s="49"/>
      <c r="C211" s="55"/>
      <c r="D211" s="49"/>
      <c r="E211" s="51">
        <f>IF('演算'!G503="OVER","",IF(W193=0,"※　②は記入できません",IF(LEN(C211)&gt;1,"※ 達成度の文字数が多過ぎます","")))</f>
      </c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39"/>
    </row>
    <row r="212" spans="1:31" s="2" customFormat="1" ht="13.5">
      <c r="A212" s="39"/>
      <c r="B212" s="49"/>
      <c r="C212" s="49"/>
      <c r="D212" s="49"/>
      <c r="E212" s="51"/>
      <c r="F212" s="49"/>
      <c r="G212" s="50"/>
      <c r="H212" s="50"/>
      <c r="I212" s="49"/>
      <c r="J212" s="49"/>
      <c r="K212" s="49"/>
      <c r="L212" s="49"/>
      <c r="M212" s="51"/>
      <c r="N212" s="49"/>
      <c r="O212" s="49"/>
      <c r="P212" s="49"/>
      <c r="Q212" s="49"/>
      <c r="R212" s="49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39"/>
    </row>
    <row r="213" spans="1:31" s="2" customFormat="1" ht="13.5">
      <c r="A213" s="39"/>
      <c r="B213" s="46"/>
      <c r="C213" s="46"/>
      <c r="D213" s="46"/>
      <c r="E213" s="46"/>
      <c r="F213" s="46"/>
      <c r="G213" s="47"/>
      <c r="H213" s="47"/>
      <c r="I213" s="46"/>
      <c r="J213" s="46"/>
      <c r="K213" s="46"/>
      <c r="L213" s="46"/>
      <c r="M213" s="48"/>
      <c r="N213" s="46"/>
      <c r="O213" s="46"/>
      <c r="P213" s="46"/>
      <c r="Q213" s="46"/>
      <c r="R213" s="46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39"/>
    </row>
    <row r="214" spans="1:31" s="2" customFormat="1" ht="13.5">
      <c r="A214" s="39"/>
      <c r="B214" s="49"/>
      <c r="C214" s="51">
        <f>IF('演算'!$G$503="OVER","用紙の記入枠を超えているため、＃２は転記できません","")</f>
      </c>
      <c r="D214" s="49"/>
      <c r="E214" s="49"/>
      <c r="F214" s="49"/>
      <c r="G214" s="50"/>
      <c r="H214" s="50"/>
      <c r="I214" s="49"/>
      <c r="J214" s="49"/>
      <c r="K214" s="49"/>
      <c r="L214" s="49"/>
      <c r="M214" s="51"/>
      <c r="N214" s="49"/>
      <c r="O214" s="49"/>
      <c r="P214" s="49"/>
      <c r="Q214" s="49"/>
      <c r="R214" s="49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39"/>
    </row>
    <row r="215" spans="1:32" s="2" customFormat="1" ht="17.25">
      <c r="A215" s="39"/>
      <c r="B215" s="49"/>
      <c r="C215" s="49" t="s">
        <v>244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144"/>
      <c r="T215" s="144"/>
      <c r="U215" s="144"/>
      <c r="V215" s="144"/>
      <c r="W215" s="1130">
        <f>'演算'!G373</f>
        <v>2506</v>
      </c>
      <c r="X215" s="1130"/>
      <c r="Y215" s="1130"/>
      <c r="Z215" s="144" t="s">
        <v>414</v>
      </c>
      <c r="AA215" s="144"/>
      <c r="AB215" s="144"/>
      <c r="AC215" s="144"/>
      <c r="AD215" s="147"/>
      <c r="AE215" s="41"/>
      <c r="AF215" s="5"/>
    </row>
    <row r="216" spans="1:32" s="2" customFormat="1" ht="94.5" customHeight="1">
      <c r="A216" s="39"/>
      <c r="B216" s="49"/>
      <c r="C216" s="1166"/>
      <c r="D216" s="1167"/>
      <c r="E216" s="1167"/>
      <c r="F216" s="1167"/>
      <c r="G216" s="1167"/>
      <c r="H216" s="1167"/>
      <c r="I216" s="1167"/>
      <c r="J216" s="1167"/>
      <c r="K216" s="1167"/>
      <c r="L216" s="1167"/>
      <c r="M216" s="1167"/>
      <c r="N216" s="1167"/>
      <c r="O216" s="1167"/>
      <c r="P216" s="1167"/>
      <c r="Q216" s="1167"/>
      <c r="R216" s="1167"/>
      <c r="S216" s="1167"/>
      <c r="T216" s="1167"/>
      <c r="U216" s="1167"/>
      <c r="V216" s="1167"/>
      <c r="W216" s="1167"/>
      <c r="X216" s="1167"/>
      <c r="Y216" s="1167"/>
      <c r="Z216" s="1167"/>
      <c r="AA216" s="1167"/>
      <c r="AB216" s="1167"/>
      <c r="AC216" s="1168"/>
      <c r="AD216" s="146"/>
      <c r="AE216" s="40"/>
      <c r="AF216" s="4"/>
    </row>
    <row r="217" spans="1:31" s="2" customFormat="1" ht="13.5">
      <c r="A217" s="39"/>
      <c r="B217" s="49"/>
      <c r="C217" s="49" t="s">
        <v>424</v>
      </c>
      <c r="D217" s="49"/>
      <c r="E217" s="49"/>
      <c r="F217" s="49"/>
      <c r="G217" s="1140">
        <f>LEN(C216)</f>
        <v>0</v>
      </c>
      <c r="H217" s="1140"/>
      <c r="I217" s="49" t="s">
        <v>412</v>
      </c>
      <c r="J217" s="49"/>
      <c r="K217" s="49"/>
      <c r="L217" s="49"/>
      <c r="M217" s="51" t="str">
        <f>IF('演算'!G503="OVER","",IF(W215=0,"※　③は記入できません",IF(G217&gt;W215,"※　文字数が多過ぎます"," ")))</f>
        <v> </v>
      </c>
      <c r="N217" s="49"/>
      <c r="O217" s="49"/>
      <c r="P217" s="49"/>
      <c r="Q217" s="49"/>
      <c r="R217" s="49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39"/>
    </row>
    <row r="218" spans="1:31" s="2" customFormat="1" ht="13.5">
      <c r="A218" s="39"/>
      <c r="B218" s="49"/>
      <c r="C218" s="49"/>
      <c r="D218" s="49"/>
      <c r="E218" s="49"/>
      <c r="F218" s="49"/>
      <c r="G218" s="50"/>
      <c r="H218" s="50"/>
      <c r="I218" s="49"/>
      <c r="J218" s="49"/>
      <c r="K218" s="49"/>
      <c r="L218" s="49"/>
      <c r="M218" s="51"/>
      <c r="N218" s="49"/>
      <c r="O218" s="49"/>
      <c r="P218" s="49"/>
      <c r="Q218" s="49"/>
      <c r="R218" s="49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39"/>
    </row>
    <row r="219" spans="1:31" s="2" customFormat="1" ht="13.5">
      <c r="A219" s="39"/>
      <c r="B219" s="49"/>
      <c r="C219" s="49" t="s">
        <v>78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51">
        <f>IF('演算'!G503="OVER","",IF(W215=0,"※　③は記入できません",""))</f>
      </c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39"/>
    </row>
    <row r="220" spans="1:32" s="2" customFormat="1" ht="13.5">
      <c r="A220" s="39"/>
      <c r="B220" s="49"/>
      <c r="C220" s="1162"/>
      <c r="D220" s="1163"/>
      <c r="E220" s="1163"/>
      <c r="F220" s="1164"/>
      <c r="G220" s="57">
        <f>IF('演算'!G503="OVER","",IF((W215+2)/'演算'!$L$32=1,"担当者は１名しか記入できません",IF(LEN(C220)&gt;'演算'!$L$40,"←文字数が多過ぎます","")))</f>
      </c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50"/>
      <c r="AE220" s="43"/>
      <c r="AF220" s="3"/>
    </row>
    <row r="221" spans="1:32" s="2" customFormat="1" ht="13.5">
      <c r="A221" s="39"/>
      <c r="B221" s="49"/>
      <c r="C221" s="1162"/>
      <c r="D221" s="1163"/>
      <c r="E221" s="1163"/>
      <c r="F221" s="1164"/>
      <c r="G221" s="57">
        <f>IF('演算'!G503="OVER","",IF((W215+2)/'演算'!$L$32=2,"※ 担当者は2名しか記入できません",IF(LEN(C221)&gt;'演算'!$L$40,"←文字数が多過ぎます","")))</f>
      </c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43"/>
      <c r="AF221" s="3"/>
    </row>
    <row r="222" spans="1:32" s="2" customFormat="1" ht="13.5">
      <c r="A222" s="39"/>
      <c r="B222" s="49"/>
      <c r="C222" s="1162"/>
      <c r="D222" s="1163"/>
      <c r="E222" s="1163"/>
      <c r="F222" s="1164"/>
      <c r="G222" s="57">
        <f>IF('演算'!G503="OVER","",IF((W215+2)/'演算'!$L$32=3,"※ 担当者は3名しか記入できません",IF(LEN(C222)&gt;'演算'!$L$40,"←文字数が多過ぎます","")))</f>
      </c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43"/>
      <c r="AF222" s="3"/>
    </row>
    <row r="223" spans="1:32" s="2" customFormat="1" ht="13.5">
      <c r="A223" s="39"/>
      <c r="B223" s="49"/>
      <c r="C223" s="1162"/>
      <c r="D223" s="1163"/>
      <c r="E223" s="1163"/>
      <c r="F223" s="1164"/>
      <c r="G223" s="57">
        <f>IF('演算'!G503="OVER","",IF('演算'!O384="OVER","※ 担当者の人数が多過ぎます",IF(LEN(C223)&gt;'演算'!$L$40,"←文字数が多過ぎます","")))</f>
      </c>
      <c r="H223" s="57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43"/>
      <c r="AF223" s="3"/>
    </row>
    <row r="224" spans="1:31" s="2" customFormat="1" ht="13.5">
      <c r="A224" s="39"/>
      <c r="B224" s="49"/>
      <c r="C224" s="122"/>
      <c r="D224" s="122"/>
      <c r="E224" s="122"/>
      <c r="F224" s="122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39"/>
    </row>
    <row r="225" spans="1:31" s="2" customFormat="1" ht="13.5">
      <c r="A225" s="39"/>
      <c r="B225" s="49"/>
      <c r="C225" s="122" t="s">
        <v>79</v>
      </c>
      <c r="D225" s="122"/>
      <c r="E225" s="122"/>
      <c r="F225" s="122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1">
        <f>IF('演算'!G503="OVER","",IF(W215=0,"※　③は記入できません",""))</f>
      </c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39"/>
    </row>
    <row r="226" spans="1:31" s="2" customFormat="1" ht="13.5">
      <c r="A226" s="39"/>
      <c r="B226" s="49"/>
      <c r="C226" s="1159"/>
      <c r="D226" s="1160"/>
      <c r="E226" s="1160"/>
      <c r="F226" s="1161"/>
      <c r="G226" s="51">
        <f>IF('演算'!G503="OVER","",IF((W215+2)/'演算'!$L$32=1,"※ 頻度はひとつしか記入できません",IF(LEN(C226)&gt;'演算'!$L$49,"←文字数が多過ぎます","")))</f>
      </c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39"/>
    </row>
    <row r="227" spans="1:31" s="2" customFormat="1" ht="13.5">
      <c r="A227" s="39"/>
      <c r="B227" s="49"/>
      <c r="C227" s="1159"/>
      <c r="D227" s="1160"/>
      <c r="E227" s="1160"/>
      <c r="F227" s="1161"/>
      <c r="G227" s="51">
        <f>IF('演算'!G503="OVER","",IF('演算'!O395="OVER","※ 頻度の記入数が多過ぎます",IF(LEN(C227)&gt;'演算'!$L$49,"←文字数が多過ぎます","")))</f>
      </c>
      <c r="H227" s="51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39"/>
    </row>
    <row r="228" spans="1:31" s="2" customFormat="1" ht="13.5">
      <c r="A228" s="3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39"/>
    </row>
    <row r="229" spans="1:31" s="2" customFormat="1" ht="13.5">
      <c r="A229" s="39"/>
      <c r="B229" s="49"/>
      <c r="C229" s="49" t="s">
        <v>493</v>
      </c>
      <c r="D229" s="49"/>
      <c r="E229" s="49"/>
      <c r="F229" s="49"/>
      <c r="G229" s="49"/>
      <c r="H229" s="49"/>
      <c r="I229" s="49"/>
      <c r="J229" s="49"/>
      <c r="K229" s="49"/>
      <c r="L229" s="51" t="str">
        <f>IF('演算'!G503="OVER","",IF(W215=0,"※　③は記入できません","　"))</f>
        <v>　</v>
      </c>
      <c r="M229" s="49"/>
      <c r="N229" s="49"/>
      <c r="O229" s="49"/>
      <c r="P229" s="49"/>
      <c r="Q229" s="49"/>
      <c r="R229" s="49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39"/>
    </row>
    <row r="230" spans="1:31" s="63" customFormat="1" ht="13.5">
      <c r="A230" s="117"/>
      <c r="B230" s="118"/>
      <c r="C230" s="119" t="s">
        <v>415</v>
      </c>
      <c r="D230" s="1170"/>
      <c r="E230" s="1171"/>
      <c r="F230" s="120" t="s">
        <v>406</v>
      </c>
      <c r="G230" s="1170"/>
      <c r="H230" s="1171"/>
      <c r="I230" s="121" t="s">
        <v>409</v>
      </c>
      <c r="J230" s="1145" t="s">
        <v>497</v>
      </c>
      <c r="K230" s="1145"/>
      <c r="L230" s="1145" t="s">
        <v>416</v>
      </c>
      <c r="M230" s="1145"/>
      <c r="N230" s="1170"/>
      <c r="O230" s="1171"/>
      <c r="P230" s="118" t="s">
        <v>406</v>
      </c>
      <c r="Q230" s="1170"/>
      <c r="R230" s="1171"/>
      <c r="S230" s="151" t="s">
        <v>409</v>
      </c>
      <c r="T230" s="151"/>
      <c r="U230" s="151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17"/>
    </row>
    <row r="231" spans="1:31" s="2" customFormat="1" ht="13.5">
      <c r="A231" s="3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39"/>
    </row>
    <row r="232" spans="1:31" s="2" customFormat="1" ht="13.5">
      <c r="A232" s="39"/>
      <c r="B232" s="49"/>
      <c r="C232" s="49" t="s">
        <v>494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39"/>
    </row>
    <row r="233" spans="1:31" s="2" customFormat="1" ht="13.5">
      <c r="A233" s="39"/>
      <c r="B233" s="49"/>
      <c r="C233" s="55"/>
      <c r="D233" s="49"/>
      <c r="E233" s="51">
        <f>IF('演算'!G503="OVER","",IF(W215=0,"※　③は記入できません",IF(LEN(C233)&gt;1,"※ 達成度の文字数が多過ぎます","")))</f>
      </c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39"/>
    </row>
    <row r="234" spans="1:31" s="2" customFormat="1" ht="13.5">
      <c r="A234" s="39"/>
      <c r="B234" s="49"/>
      <c r="C234" s="49"/>
      <c r="D234" s="49"/>
      <c r="E234" s="51"/>
      <c r="F234" s="49"/>
      <c r="G234" s="50"/>
      <c r="H234" s="50"/>
      <c r="I234" s="49"/>
      <c r="J234" s="49"/>
      <c r="K234" s="49"/>
      <c r="L234" s="49"/>
      <c r="M234" s="51"/>
      <c r="N234" s="49"/>
      <c r="O234" s="49"/>
      <c r="P234" s="49"/>
      <c r="Q234" s="49"/>
      <c r="R234" s="49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39"/>
    </row>
    <row r="235" spans="1:31" s="2" customFormat="1" ht="13.5">
      <c r="A235" s="39"/>
      <c r="B235" s="46"/>
      <c r="C235" s="46"/>
      <c r="D235" s="46"/>
      <c r="E235" s="46"/>
      <c r="F235" s="46"/>
      <c r="G235" s="47"/>
      <c r="H235" s="47"/>
      <c r="I235" s="46"/>
      <c r="J235" s="46"/>
      <c r="K235" s="46"/>
      <c r="L235" s="46"/>
      <c r="M235" s="48"/>
      <c r="N235" s="46"/>
      <c r="O235" s="46"/>
      <c r="P235" s="46"/>
      <c r="Q235" s="46"/>
      <c r="R235" s="46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39"/>
    </row>
    <row r="236" spans="1:31" s="2" customFormat="1" ht="13.5">
      <c r="A236" s="39"/>
      <c r="B236" s="49"/>
      <c r="C236" s="51">
        <f>IF('演算'!$G$503="OVER","用紙の記入枠を超えているため、＃２は転記できません","")</f>
      </c>
      <c r="D236" s="49"/>
      <c r="E236" s="49"/>
      <c r="F236" s="49"/>
      <c r="G236" s="50"/>
      <c r="H236" s="50"/>
      <c r="I236" s="49"/>
      <c r="J236" s="49"/>
      <c r="K236" s="49"/>
      <c r="L236" s="49"/>
      <c r="M236" s="51"/>
      <c r="N236" s="49"/>
      <c r="O236" s="49"/>
      <c r="P236" s="49"/>
      <c r="Q236" s="49"/>
      <c r="R236" s="49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39"/>
    </row>
    <row r="237" spans="1:32" s="2" customFormat="1" ht="17.25">
      <c r="A237" s="39"/>
      <c r="B237" s="49"/>
      <c r="C237" s="49" t="s">
        <v>245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144"/>
      <c r="T237" s="144"/>
      <c r="U237" s="144"/>
      <c r="V237" s="144"/>
      <c r="W237" s="1130">
        <f>'演算'!G417</f>
        <v>2506</v>
      </c>
      <c r="X237" s="1130"/>
      <c r="Y237" s="1130"/>
      <c r="Z237" s="144" t="s">
        <v>414</v>
      </c>
      <c r="AA237" s="144"/>
      <c r="AB237" s="144"/>
      <c r="AC237" s="144"/>
      <c r="AD237" s="147"/>
      <c r="AE237" s="41"/>
      <c r="AF237" s="5"/>
    </row>
    <row r="238" spans="1:32" s="2" customFormat="1" ht="94.5" customHeight="1">
      <c r="A238" s="39"/>
      <c r="B238" s="49"/>
      <c r="C238" s="1166"/>
      <c r="D238" s="1167"/>
      <c r="E238" s="1167"/>
      <c r="F238" s="1167"/>
      <c r="G238" s="1167"/>
      <c r="H238" s="1167"/>
      <c r="I238" s="1167"/>
      <c r="J238" s="1167"/>
      <c r="K238" s="1167"/>
      <c r="L238" s="1167"/>
      <c r="M238" s="1167"/>
      <c r="N238" s="1167"/>
      <c r="O238" s="1167"/>
      <c r="P238" s="1167"/>
      <c r="Q238" s="1167"/>
      <c r="R238" s="1167"/>
      <c r="S238" s="1167"/>
      <c r="T238" s="1167"/>
      <c r="U238" s="1167"/>
      <c r="V238" s="1167"/>
      <c r="W238" s="1167"/>
      <c r="X238" s="1167"/>
      <c r="Y238" s="1167"/>
      <c r="Z238" s="1167"/>
      <c r="AA238" s="1167"/>
      <c r="AB238" s="1167"/>
      <c r="AC238" s="1168"/>
      <c r="AD238" s="146"/>
      <c r="AE238" s="40"/>
      <c r="AF238" s="4"/>
    </row>
    <row r="239" spans="1:31" s="2" customFormat="1" ht="13.5">
      <c r="A239" s="39"/>
      <c r="B239" s="49"/>
      <c r="C239" s="49" t="s">
        <v>424</v>
      </c>
      <c r="D239" s="49"/>
      <c r="E239" s="49"/>
      <c r="F239" s="49"/>
      <c r="G239" s="1140">
        <f>LEN(C238)</f>
        <v>0</v>
      </c>
      <c r="H239" s="1140"/>
      <c r="I239" s="49" t="s">
        <v>412</v>
      </c>
      <c r="J239" s="49"/>
      <c r="K239" s="49"/>
      <c r="L239" s="49"/>
      <c r="M239" s="51" t="str">
        <f>IF('演算'!G503="OVER","",IF(W237=0,"※　④は記入できません",IF(G239&gt;W237,"※　文字数が多過ぎます"," ")))</f>
        <v> </v>
      </c>
      <c r="N239" s="49"/>
      <c r="O239" s="49"/>
      <c r="P239" s="49"/>
      <c r="Q239" s="49"/>
      <c r="R239" s="49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39"/>
    </row>
    <row r="240" spans="1:31" s="2" customFormat="1" ht="13.5">
      <c r="A240" s="39"/>
      <c r="B240" s="49"/>
      <c r="C240" s="49"/>
      <c r="D240" s="49"/>
      <c r="E240" s="49"/>
      <c r="F240" s="49"/>
      <c r="G240" s="50"/>
      <c r="H240" s="50"/>
      <c r="I240" s="49"/>
      <c r="J240" s="49"/>
      <c r="K240" s="49"/>
      <c r="L240" s="49"/>
      <c r="M240" s="51"/>
      <c r="N240" s="49"/>
      <c r="O240" s="49"/>
      <c r="P240" s="49"/>
      <c r="Q240" s="49"/>
      <c r="R240" s="49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39"/>
    </row>
    <row r="241" spans="1:31" s="2" customFormat="1" ht="13.5">
      <c r="A241" s="39"/>
      <c r="B241" s="49"/>
      <c r="C241" s="49" t="s">
        <v>80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1">
        <f>IF('演算'!G503="OVER","",IF(W237=0,"※　④は記入できません",""))</f>
      </c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39"/>
    </row>
    <row r="242" spans="1:32" s="2" customFormat="1" ht="13.5">
      <c r="A242" s="39"/>
      <c r="B242" s="49"/>
      <c r="C242" s="1162"/>
      <c r="D242" s="1163"/>
      <c r="E242" s="1163"/>
      <c r="F242" s="1164"/>
      <c r="G242" s="57">
        <f>IF('演算'!G503="OVER","",IF((W237+2)/'演算'!$L$32=1,"担当者は１名しか記入できません",IF(LEN(C242)&gt;'演算'!$L$40,"←文字数が多過ぎます","")))</f>
      </c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50"/>
      <c r="AE242" s="43"/>
      <c r="AF242" s="3"/>
    </row>
    <row r="243" spans="1:32" s="2" customFormat="1" ht="13.5">
      <c r="A243" s="39"/>
      <c r="B243" s="49"/>
      <c r="C243" s="1162"/>
      <c r="D243" s="1163"/>
      <c r="E243" s="1163"/>
      <c r="F243" s="1164"/>
      <c r="G243" s="57">
        <f>IF('演算'!G503="OVER","",IF((W237+2)/'演算'!$L$32=2,"※ 担当者は2名しか記入できません",IF(LEN(C243)&gt;'演算'!$L$40,"←文字数が多過ぎます","")))</f>
      </c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43"/>
      <c r="AF243" s="3"/>
    </row>
    <row r="244" spans="1:32" s="2" customFormat="1" ht="13.5">
      <c r="A244" s="39"/>
      <c r="B244" s="49"/>
      <c r="C244" s="1162"/>
      <c r="D244" s="1163"/>
      <c r="E244" s="1163"/>
      <c r="F244" s="1164"/>
      <c r="G244" s="57">
        <f>IF('演算'!G503="OVER","",IF((W237+2)/'演算'!$L$32=3,"※ 担当者は3名しか記入できません",IF(LEN(C244)&gt;'演算'!$L$40,"←文字数が多過ぎます","")))</f>
      </c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43"/>
      <c r="AF244" s="3"/>
    </row>
    <row r="245" spans="1:32" s="2" customFormat="1" ht="13.5">
      <c r="A245" s="39"/>
      <c r="B245" s="49"/>
      <c r="C245" s="1162"/>
      <c r="D245" s="1163"/>
      <c r="E245" s="1163"/>
      <c r="F245" s="1164"/>
      <c r="G245" s="57">
        <f>IF('演算'!G503="OVER","",IF('演算'!O428="OVER","※ 担当者の人数が多過ぎます",IF(LEN(C245)&gt;'演算'!$L$40,"←文字数が多過ぎます","")))</f>
      </c>
      <c r="H245" s="57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43"/>
      <c r="AF245" s="3"/>
    </row>
    <row r="246" spans="1:31" s="2" customFormat="1" ht="13.5">
      <c r="A246" s="3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39"/>
    </row>
    <row r="247" spans="1:31" s="2" customFormat="1" ht="13.5">
      <c r="A247" s="39"/>
      <c r="B247" s="49"/>
      <c r="C247" s="49" t="s">
        <v>81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51">
        <f>IF('演算'!G503="OVER","",IF(W237=0,"※　④は記入できません",""))</f>
      </c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39"/>
    </row>
    <row r="248" spans="1:31" s="2" customFormat="1" ht="13.5">
      <c r="A248" s="39"/>
      <c r="B248" s="49"/>
      <c r="C248" s="1159"/>
      <c r="D248" s="1160"/>
      <c r="E248" s="1160"/>
      <c r="F248" s="1161"/>
      <c r="G248" s="51">
        <f>IF('演算'!G503="OVER","",IF((W237+2)/'演算'!$L$32=1,"※ 頻度はひとつしか記入できません",IF(LEN(C248)&gt;'演算'!$L$49,"←文字数が多過ぎます","")))</f>
      </c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39"/>
    </row>
    <row r="249" spans="1:31" s="2" customFormat="1" ht="13.5">
      <c r="A249" s="39"/>
      <c r="B249" s="49"/>
      <c r="C249" s="1159"/>
      <c r="D249" s="1160"/>
      <c r="E249" s="1160"/>
      <c r="F249" s="1161"/>
      <c r="G249" s="51">
        <f>IF('演算'!G503="OVER","",IF('演算'!O439="OVER","※ 頻度の記入数が多過ぎます",IF(LEN(C249)&gt;'演算'!$L$49,"←文字数が多過ぎます","")))</f>
      </c>
      <c r="H249" s="51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39"/>
    </row>
    <row r="250" spans="1:31" s="2" customFormat="1" ht="13.5">
      <c r="A250" s="3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39"/>
    </row>
    <row r="251" spans="1:31" s="2" customFormat="1" ht="13.5">
      <c r="A251" s="39"/>
      <c r="B251" s="49"/>
      <c r="C251" s="49" t="s">
        <v>495</v>
      </c>
      <c r="D251" s="49"/>
      <c r="E251" s="49"/>
      <c r="F251" s="49"/>
      <c r="G251" s="49"/>
      <c r="H251" s="49"/>
      <c r="I251" s="49"/>
      <c r="J251" s="49"/>
      <c r="K251" s="49"/>
      <c r="L251" s="51" t="str">
        <f>IF('演算'!G503="OVER","",IF(W237=0,"※　④は記入できません","　"))</f>
        <v>　</v>
      </c>
      <c r="M251" s="49"/>
      <c r="N251" s="49"/>
      <c r="O251" s="49"/>
      <c r="P251" s="49"/>
      <c r="Q251" s="49"/>
      <c r="R251" s="49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39"/>
    </row>
    <row r="252" spans="1:31" s="63" customFormat="1" ht="13.5">
      <c r="A252" s="117"/>
      <c r="B252" s="118"/>
      <c r="C252" s="119" t="s">
        <v>415</v>
      </c>
      <c r="D252" s="1170"/>
      <c r="E252" s="1171"/>
      <c r="F252" s="120" t="s">
        <v>406</v>
      </c>
      <c r="G252" s="1170"/>
      <c r="H252" s="1171"/>
      <c r="I252" s="121" t="s">
        <v>409</v>
      </c>
      <c r="J252" s="1145" t="s">
        <v>497</v>
      </c>
      <c r="K252" s="1145"/>
      <c r="L252" s="1145" t="s">
        <v>416</v>
      </c>
      <c r="M252" s="1145"/>
      <c r="N252" s="1170"/>
      <c r="O252" s="1171"/>
      <c r="P252" s="118" t="s">
        <v>406</v>
      </c>
      <c r="Q252" s="1170"/>
      <c r="R252" s="1171"/>
      <c r="S252" s="151" t="s">
        <v>409</v>
      </c>
      <c r="T252" s="151"/>
      <c r="U252" s="151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17"/>
    </row>
    <row r="253" spans="1:31" s="2" customFormat="1" ht="13.5">
      <c r="A253" s="3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39"/>
    </row>
    <row r="254" spans="1:31" s="2" customFormat="1" ht="13.5">
      <c r="A254" s="39"/>
      <c r="B254" s="49"/>
      <c r="C254" s="49" t="s">
        <v>496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39"/>
    </row>
    <row r="255" spans="1:31" s="2" customFormat="1" ht="13.5">
      <c r="A255" s="39"/>
      <c r="B255" s="49"/>
      <c r="C255" s="55"/>
      <c r="D255" s="49"/>
      <c r="E255" s="51">
        <f>IF('演算'!G503="OVER","",IF(W237=0,"※　④は記入できません",IF(LEN(C255)&gt;1,"※ 達成度の文字数が多過ぎます","")))</f>
      </c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39"/>
    </row>
    <row r="256" spans="1:31" s="2" customFormat="1" ht="13.5">
      <c r="A256" s="39"/>
      <c r="B256" s="49"/>
      <c r="C256" s="49"/>
      <c r="D256" s="49"/>
      <c r="E256" s="51"/>
      <c r="F256" s="49"/>
      <c r="G256" s="50"/>
      <c r="H256" s="50"/>
      <c r="I256" s="49"/>
      <c r="J256" s="49"/>
      <c r="K256" s="49"/>
      <c r="L256" s="49"/>
      <c r="M256" s="51"/>
      <c r="N256" s="49"/>
      <c r="O256" s="49"/>
      <c r="P256" s="49"/>
      <c r="Q256" s="49"/>
      <c r="R256" s="49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39"/>
    </row>
    <row r="257" spans="1:31" s="2" customFormat="1" ht="13.5">
      <c r="A257" s="39"/>
      <c r="B257" s="46"/>
      <c r="C257" s="46"/>
      <c r="D257" s="46"/>
      <c r="E257" s="46"/>
      <c r="F257" s="46"/>
      <c r="G257" s="47"/>
      <c r="H257" s="47"/>
      <c r="I257" s="46"/>
      <c r="J257" s="46"/>
      <c r="K257" s="46"/>
      <c r="L257" s="46"/>
      <c r="M257" s="48"/>
      <c r="N257" s="46"/>
      <c r="O257" s="46"/>
      <c r="P257" s="46"/>
      <c r="Q257" s="46"/>
      <c r="R257" s="46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39"/>
    </row>
    <row r="258" spans="1:31" s="2" customFormat="1" ht="13.5">
      <c r="A258" s="39"/>
      <c r="B258" s="49"/>
      <c r="C258" s="51">
        <f>IF('演算'!$G$503="OVER","用紙の記入枠を超えているため、＃２は転記できません","")</f>
      </c>
      <c r="D258" s="49"/>
      <c r="E258" s="49"/>
      <c r="F258" s="49"/>
      <c r="G258" s="50"/>
      <c r="H258" s="50"/>
      <c r="I258" s="49"/>
      <c r="J258" s="49"/>
      <c r="K258" s="49"/>
      <c r="L258" s="49"/>
      <c r="M258" s="51"/>
      <c r="N258" s="49"/>
      <c r="O258" s="49"/>
      <c r="P258" s="49"/>
      <c r="Q258" s="49"/>
      <c r="R258" s="49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39"/>
    </row>
    <row r="259" spans="1:32" s="2" customFormat="1" ht="17.25">
      <c r="A259" s="39"/>
      <c r="B259" s="49"/>
      <c r="C259" s="49" t="s">
        <v>188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144"/>
      <c r="T259" s="144"/>
      <c r="U259" s="144"/>
      <c r="V259" s="144"/>
      <c r="W259" s="1130">
        <f>'演算'!G461</f>
        <v>2506</v>
      </c>
      <c r="X259" s="1130"/>
      <c r="Y259" s="1130"/>
      <c r="Z259" s="144" t="s">
        <v>414</v>
      </c>
      <c r="AA259" s="144"/>
      <c r="AB259" s="144"/>
      <c r="AC259" s="144"/>
      <c r="AD259" s="147"/>
      <c r="AE259" s="41"/>
      <c r="AF259" s="5"/>
    </row>
    <row r="260" spans="1:32" s="2" customFormat="1" ht="94.5" customHeight="1">
      <c r="A260" s="39"/>
      <c r="B260" s="49"/>
      <c r="C260" s="1166"/>
      <c r="D260" s="1167"/>
      <c r="E260" s="1167"/>
      <c r="F260" s="1167"/>
      <c r="G260" s="1167"/>
      <c r="H260" s="1167"/>
      <c r="I260" s="1167"/>
      <c r="J260" s="1167"/>
      <c r="K260" s="1167"/>
      <c r="L260" s="1167"/>
      <c r="M260" s="1167"/>
      <c r="N260" s="1167"/>
      <c r="O260" s="1167"/>
      <c r="P260" s="1167"/>
      <c r="Q260" s="1167"/>
      <c r="R260" s="1167"/>
      <c r="S260" s="1167"/>
      <c r="T260" s="1167"/>
      <c r="U260" s="1167"/>
      <c r="V260" s="1167"/>
      <c r="W260" s="1167"/>
      <c r="X260" s="1167"/>
      <c r="Y260" s="1167"/>
      <c r="Z260" s="1167"/>
      <c r="AA260" s="1167"/>
      <c r="AB260" s="1167"/>
      <c r="AC260" s="1168"/>
      <c r="AD260" s="146"/>
      <c r="AE260" s="40"/>
      <c r="AF260" s="4"/>
    </row>
    <row r="261" spans="1:31" s="2" customFormat="1" ht="13.5">
      <c r="A261" s="39"/>
      <c r="B261" s="49"/>
      <c r="C261" s="49" t="s">
        <v>424</v>
      </c>
      <c r="D261" s="49"/>
      <c r="E261" s="49"/>
      <c r="F261" s="49"/>
      <c r="G261" s="1140">
        <f>LEN(C260)</f>
        <v>0</v>
      </c>
      <c r="H261" s="1140"/>
      <c r="I261" s="49" t="s">
        <v>412</v>
      </c>
      <c r="J261" s="49"/>
      <c r="K261" s="49"/>
      <c r="L261" s="49"/>
      <c r="M261" s="51" t="str">
        <f>IF('演算'!G503="OVER","",IF(W259=0,"※　⑤は記入できません",IF(G261&gt;W259,"※　文字数が多過ぎます"," ")))</f>
        <v> </v>
      </c>
      <c r="N261" s="49"/>
      <c r="O261" s="49"/>
      <c r="P261" s="49"/>
      <c r="Q261" s="49"/>
      <c r="R261" s="49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39"/>
    </row>
    <row r="262" spans="1:31" s="2" customFormat="1" ht="13.5">
      <c r="A262" s="39"/>
      <c r="B262" s="49"/>
      <c r="C262" s="49"/>
      <c r="D262" s="49"/>
      <c r="E262" s="49"/>
      <c r="F262" s="49"/>
      <c r="G262" s="50"/>
      <c r="H262" s="50"/>
      <c r="I262" s="49"/>
      <c r="J262" s="49"/>
      <c r="K262" s="49"/>
      <c r="L262" s="49"/>
      <c r="M262" s="51"/>
      <c r="N262" s="49"/>
      <c r="O262" s="49"/>
      <c r="P262" s="49"/>
      <c r="Q262" s="49"/>
      <c r="R262" s="49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39"/>
    </row>
    <row r="263" spans="1:31" s="2" customFormat="1" ht="13.5">
      <c r="A263" s="39"/>
      <c r="B263" s="49"/>
      <c r="C263" s="49" t="s">
        <v>189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1">
        <f>IF('演算'!G503="OVER","",IF(W259=0,"※　⑤は記入できません",""))</f>
      </c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39"/>
    </row>
    <row r="264" spans="1:32" s="2" customFormat="1" ht="13.5">
      <c r="A264" s="39"/>
      <c r="B264" s="49"/>
      <c r="C264" s="1162"/>
      <c r="D264" s="1163"/>
      <c r="E264" s="1163"/>
      <c r="F264" s="1164"/>
      <c r="G264" s="57">
        <f>IF('演算'!G503="OVER","",IF((W259+2)/'演算'!$L$32=1,"担当者は１名しか記入できません",IF(LEN(C264)&gt;'演算'!$L$40,"←文字数が多過ぎます","")))</f>
      </c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50"/>
      <c r="AE264" s="43"/>
      <c r="AF264" s="3"/>
    </row>
    <row r="265" spans="1:32" s="2" customFormat="1" ht="13.5">
      <c r="A265" s="39"/>
      <c r="B265" s="49"/>
      <c r="C265" s="1162"/>
      <c r="D265" s="1163"/>
      <c r="E265" s="1163"/>
      <c r="F265" s="1164"/>
      <c r="G265" s="57">
        <f>IF('演算'!G503="OVER","",IF((W259+2)/'演算'!$L$32=2,"※ 担当者は2名しか記入できません",IF(LEN(C265)&gt;'演算'!$L$40,"←文字数が多過ぎます","")))</f>
      </c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43"/>
      <c r="AF265" s="3"/>
    </row>
    <row r="266" spans="1:32" s="2" customFormat="1" ht="13.5">
      <c r="A266" s="39"/>
      <c r="B266" s="49"/>
      <c r="C266" s="1162"/>
      <c r="D266" s="1163"/>
      <c r="E266" s="1163"/>
      <c r="F266" s="1164"/>
      <c r="G266" s="57">
        <f>IF('演算'!G503="OVER","",IF((W259+2)/'演算'!$L$32=3,"※ 担当者は3名しか記入できません",IF(LEN(C266)&gt;'演算'!$L$40,"←文字数が多過ぎます","")))</f>
      </c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43"/>
      <c r="AF266" s="3"/>
    </row>
    <row r="267" spans="1:32" s="2" customFormat="1" ht="13.5">
      <c r="A267" s="39"/>
      <c r="B267" s="49"/>
      <c r="C267" s="1162"/>
      <c r="D267" s="1163"/>
      <c r="E267" s="1163"/>
      <c r="F267" s="1164"/>
      <c r="G267" s="57">
        <f>IF('演算'!G503="OVER","",IF('演算'!O472="OVER","※ 担当者の人数が多過ぎます",IF(LEN(C267)&gt;'演算'!$L$40,"←文字数が多過ぎます","")))</f>
      </c>
      <c r="H267" s="57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43"/>
      <c r="AF267" s="3"/>
    </row>
    <row r="268" spans="1:31" s="2" customFormat="1" ht="13.5">
      <c r="A268" s="3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39"/>
    </row>
    <row r="269" spans="1:31" s="2" customFormat="1" ht="13.5">
      <c r="A269" s="39"/>
      <c r="B269" s="49"/>
      <c r="C269" s="49" t="s">
        <v>190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51">
        <f>IF('演算'!G503="OVER","",IF(W259=0,"※　⑤は記入できません",""))</f>
      </c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39"/>
    </row>
    <row r="270" spans="1:31" s="2" customFormat="1" ht="13.5">
      <c r="A270" s="39"/>
      <c r="B270" s="49"/>
      <c r="C270" s="1159"/>
      <c r="D270" s="1160"/>
      <c r="E270" s="1160"/>
      <c r="F270" s="1161"/>
      <c r="G270" s="51">
        <f>IF('演算'!G503="OVER","",IF((W259+2)/'演算'!$L$32=1,"※ 頻度はひとつしか記入できません",IF(LEN(C270)&gt;'演算'!$L$49,"←文字数が多過ぎます","")))</f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39"/>
    </row>
    <row r="271" spans="1:31" s="2" customFormat="1" ht="13.5">
      <c r="A271" s="39"/>
      <c r="B271" s="49"/>
      <c r="C271" s="1159"/>
      <c r="D271" s="1160"/>
      <c r="E271" s="1160"/>
      <c r="F271" s="1161"/>
      <c r="G271" s="51">
        <f>IF('演算'!G503="OVER","",IF('演算'!O483="OVER","※ 頻度の記入数が多過ぎます",IF(LEN(C271)&gt;'演算'!$L$49,"←文字数が多過ぎます","")))</f>
      </c>
      <c r="H271" s="51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39"/>
    </row>
    <row r="272" spans="1:31" s="2" customFormat="1" ht="13.5">
      <c r="A272" s="3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39"/>
    </row>
    <row r="273" spans="1:31" s="2" customFormat="1" ht="13.5">
      <c r="A273" s="39"/>
      <c r="B273" s="49"/>
      <c r="C273" s="49" t="s">
        <v>191</v>
      </c>
      <c r="D273" s="49"/>
      <c r="E273" s="49"/>
      <c r="F273" s="49"/>
      <c r="G273" s="49"/>
      <c r="H273" s="49"/>
      <c r="I273" s="49"/>
      <c r="J273" s="49"/>
      <c r="K273" s="49"/>
      <c r="L273" s="51" t="str">
        <f>IF('演算'!G503="OVER","",IF(W259=0,"※　⑤は記入できません","　"))</f>
        <v>　</v>
      </c>
      <c r="M273" s="49"/>
      <c r="N273" s="49"/>
      <c r="O273" s="49"/>
      <c r="P273" s="49"/>
      <c r="Q273" s="49"/>
      <c r="R273" s="49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39"/>
    </row>
    <row r="274" spans="1:31" s="63" customFormat="1" ht="13.5">
      <c r="A274" s="117"/>
      <c r="B274" s="118"/>
      <c r="C274" s="119" t="s">
        <v>415</v>
      </c>
      <c r="D274" s="1170"/>
      <c r="E274" s="1171"/>
      <c r="F274" s="120" t="s">
        <v>406</v>
      </c>
      <c r="G274" s="1170"/>
      <c r="H274" s="1171"/>
      <c r="I274" s="121" t="s">
        <v>409</v>
      </c>
      <c r="J274" s="1145" t="s">
        <v>497</v>
      </c>
      <c r="K274" s="1145"/>
      <c r="L274" s="1145" t="s">
        <v>416</v>
      </c>
      <c r="M274" s="1145"/>
      <c r="N274" s="1170"/>
      <c r="O274" s="1171"/>
      <c r="P274" s="118" t="s">
        <v>406</v>
      </c>
      <c r="Q274" s="1170"/>
      <c r="R274" s="1171"/>
      <c r="S274" s="151" t="s">
        <v>409</v>
      </c>
      <c r="T274" s="151"/>
      <c r="U274" s="151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17"/>
    </row>
    <row r="275" spans="1:31" s="2" customFormat="1" ht="13.5">
      <c r="A275" s="3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39"/>
    </row>
    <row r="276" spans="1:31" s="2" customFormat="1" ht="13.5">
      <c r="A276" s="39"/>
      <c r="B276" s="49"/>
      <c r="C276" s="49" t="s">
        <v>192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39"/>
    </row>
    <row r="277" spans="1:31" s="2" customFormat="1" ht="13.5">
      <c r="A277" s="39"/>
      <c r="B277" s="49"/>
      <c r="C277" s="55"/>
      <c r="D277" s="49"/>
      <c r="E277" s="51">
        <f>IF('演算'!G503="OVER","",IF(W259=0,"※　⑤は記入できません",IF(LEN(C277)&gt;1,"※ 達成度の文字数が多過ぎます","")))</f>
      </c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39"/>
    </row>
    <row r="278" spans="1:31" s="2" customFormat="1" ht="13.5">
      <c r="A278" s="39"/>
      <c r="B278" s="49"/>
      <c r="C278" s="49"/>
      <c r="D278" s="49"/>
      <c r="E278" s="51"/>
      <c r="F278" s="49"/>
      <c r="G278" s="50"/>
      <c r="H278" s="50"/>
      <c r="I278" s="49"/>
      <c r="J278" s="49"/>
      <c r="K278" s="49"/>
      <c r="L278" s="49"/>
      <c r="M278" s="51"/>
      <c r="N278" s="49"/>
      <c r="O278" s="49"/>
      <c r="P278" s="49"/>
      <c r="Q278" s="49"/>
      <c r="R278" s="49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39"/>
    </row>
    <row r="279" spans="1:31" s="2" customFormat="1" ht="13.5">
      <c r="A279" s="39"/>
      <c r="B279" s="39"/>
      <c r="C279" s="41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39"/>
    </row>
    <row r="280" spans="1:31" s="2" customFormat="1" ht="13.5">
      <c r="A280" s="81"/>
      <c r="B280" s="81"/>
      <c r="C280" s="84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81"/>
    </row>
    <row r="281" spans="1:31" s="2" customFormat="1" ht="13.5">
      <c r="A281" s="81"/>
      <c r="B281" s="67"/>
      <c r="C281" s="70">
        <f>IF('演算'!$G$782="OVER","用紙の記入枠を超えているため、＃３は転記できません","")</f>
      </c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82"/>
    </row>
    <row r="282" spans="1:31" s="2" customFormat="1" ht="13.5">
      <c r="A282" s="81"/>
      <c r="B282" s="67"/>
      <c r="C282" s="67" t="s">
        <v>432</v>
      </c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1131">
        <f>'演算'!G530</f>
        <v>1569</v>
      </c>
      <c r="O282" s="1131"/>
      <c r="P282" s="67" t="s">
        <v>414</v>
      </c>
      <c r="Q282" s="69"/>
      <c r="R282" s="69"/>
      <c r="S282" s="155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82"/>
    </row>
    <row r="283" spans="1:32" s="2" customFormat="1" ht="82.5" customHeight="1">
      <c r="A283" s="81"/>
      <c r="B283" s="67"/>
      <c r="C283" s="1166"/>
      <c r="D283" s="1167"/>
      <c r="E283" s="1167"/>
      <c r="F283" s="1167"/>
      <c r="G283" s="1167"/>
      <c r="H283" s="1167"/>
      <c r="I283" s="1167"/>
      <c r="J283" s="1167"/>
      <c r="K283" s="1167"/>
      <c r="L283" s="1167"/>
      <c r="M283" s="1167"/>
      <c r="N283" s="1167"/>
      <c r="O283" s="1167"/>
      <c r="P283" s="1167"/>
      <c r="Q283" s="1167"/>
      <c r="R283" s="1167"/>
      <c r="S283" s="1167"/>
      <c r="T283" s="1167"/>
      <c r="U283" s="1167"/>
      <c r="V283" s="1167"/>
      <c r="W283" s="1167"/>
      <c r="X283" s="1167"/>
      <c r="Y283" s="1167"/>
      <c r="Z283" s="1167"/>
      <c r="AA283" s="1167"/>
      <c r="AB283" s="1167"/>
      <c r="AC283" s="1168"/>
      <c r="AD283" s="156"/>
      <c r="AE283" s="83"/>
      <c r="AF283" s="5"/>
    </row>
    <row r="284" spans="1:32" s="2" customFormat="1" ht="13.5">
      <c r="A284" s="81"/>
      <c r="B284" s="67"/>
      <c r="C284" s="67" t="s">
        <v>411</v>
      </c>
      <c r="D284" s="67"/>
      <c r="E284" s="67"/>
      <c r="F284" s="67"/>
      <c r="G284" s="1125">
        <f>LEN(C283)</f>
        <v>0</v>
      </c>
      <c r="H284" s="1125"/>
      <c r="I284" s="67" t="s">
        <v>412</v>
      </c>
      <c r="J284" s="67"/>
      <c r="K284" s="67"/>
      <c r="L284" s="67"/>
      <c r="M284" s="70" t="str">
        <f>IF('演算'!G782="OVER","",IF(N282=0,"＃３は記入できません",IF(G284&gt;N282,"※　文字数が多過ぎます"," ")))</f>
        <v> </v>
      </c>
      <c r="N284" s="67"/>
      <c r="O284" s="67"/>
      <c r="P284" s="67"/>
      <c r="Q284" s="67"/>
      <c r="R284" s="67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7"/>
      <c r="AE284" s="84"/>
      <c r="AF284" s="5"/>
    </row>
    <row r="285" spans="1:32" s="2" customFormat="1" ht="13.5">
      <c r="A285" s="81"/>
      <c r="B285" s="67"/>
      <c r="C285" s="67"/>
      <c r="D285" s="67"/>
      <c r="E285" s="67"/>
      <c r="F285" s="67"/>
      <c r="G285" s="68"/>
      <c r="H285" s="68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7"/>
      <c r="AE285" s="84"/>
      <c r="AF285" s="5"/>
    </row>
    <row r="286" spans="1:32" s="2" customFormat="1" ht="13.5">
      <c r="A286" s="81"/>
      <c r="B286" s="81"/>
      <c r="C286" s="81"/>
      <c r="D286" s="81"/>
      <c r="E286" s="81"/>
      <c r="F286" s="81"/>
      <c r="G286" s="91"/>
      <c r="H286" s="9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8"/>
      <c r="AE286" s="84"/>
      <c r="AF286" s="5"/>
    </row>
    <row r="287" spans="1:32" s="2" customFormat="1" ht="13.5">
      <c r="A287" s="81"/>
      <c r="B287" s="67"/>
      <c r="C287" s="70">
        <f>IF('演算'!$G$782="OVER","用紙の記入枠を超えているため、＃３は転記できません","")</f>
      </c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7"/>
      <c r="AE287" s="84"/>
      <c r="AF287" s="5"/>
    </row>
    <row r="288" spans="1:32" s="2" customFormat="1" ht="13.5">
      <c r="A288" s="81"/>
      <c r="B288" s="67"/>
      <c r="C288" s="67" t="s">
        <v>433</v>
      </c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154"/>
      <c r="T288" s="154"/>
      <c r="U288" s="1149">
        <f>'演算'!G540</f>
        <v>1310</v>
      </c>
      <c r="V288" s="1149"/>
      <c r="W288" s="1149"/>
      <c r="X288" s="154" t="s">
        <v>413</v>
      </c>
      <c r="Y288" s="154"/>
      <c r="Z288" s="154"/>
      <c r="AA288" s="154"/>
      <c r="AB288" s="154"/>
      <c r="AC288" s="154"/>
      <c r="AD288" s="157"/>
      <c r="AE288" s="84"/>
      <c r="AF288" s="5"/>
    </row>
    <row r="289" spans="1:32" s="2" customFormat="1" ht="95.25" customHeight="1">
      <c r="A289" s="81"/>
      <c r="B289" s="67"/>
      <c r="C289" s="1166"/>
      <c r="D289" s="1167"/>
      <c r="E289" s="1167"/>
      <c r="F289" s="1167"/>
      <c r="G289" s="1167"/>
      <c r="H289" s="1167"/>
      <c r="I289" s="1167"/>
      <c r="J289" s="1167"/>
      <c r="K289" s="1167"/>
      <c r="L289" s="1167"/>
      <c r="M289" s="1167"/>
      <c r="N289" s="1167"/>
      <c r="O289" s="1167"/>
      <c r="P289" s="1167"/>
      <c r="Q289" s="1167"/>
      <c r="R289" s="1167"/>
      <c r="S289" s="1167"/>
      <c r="T289" s="1167"/>
      <c r="U289" s="1167"/>
      <c r="V289" s="1167"/>
      <c r="W289" s="1167"/>
      <c r="X289" s="1167"/>
      <c r="Y289" s="1167"/>
      <c r="Z289" s="1167"/>
      <c r="AA289" s="1167"/>
      <c r="AB289" s="1167"/>
      <c r="AC289" s="1168"/>
      <c r="AD289" s="156"/>
      <c r="AE289" s="83"/>
      <c r="AF289" s="5"/>
    </row>
    <row r="290" spans="1:32" s="2" customFormat="1" ht="13.5">
      <c r="A290" s="81"/>
      <c r="B290" s="67"/>
      <c r="C290" s="67" t="s">
        <v>411</v>
      </c>
      <c r="D290" s="67"/>
      <c r="E290" s="67"/>
      <c r="F290" s="67"/>
      <c r="G290" s="1125">
        <f>LEN(C289)</f>
        <v>0</v>
      </c>
      <c r="H290" s="1125"/>
      <c r="I290" s="67" t="s">
        <v>412</v>
      </c>
      <c r="J290" s="67"/>
      <c r="K290" s="67"/>
      <c r="L290" s="67"/>
      <c r="M290" s="70" t="str">
        <f>IF('演算'!G782="OVER","",IF(U288=0,"＃３は記入できません",IF(G290&gt;U288,"※　文字数が多過ぎます"," ")))</f>
        <v> </v>
      </c>
      <c r="N290" s="67"/>
      <c r="O290" s="67"/>
      <c r="P290" s="67"/>
      <c r="Q290" s="67"/>
      <c r="R290" s="67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7"/>
      <c r="AE290" s="84"/>
      <c r="AF290" s="5"/>
    </row>
    <row r="291" spans="1:32" s="2" customFormat="1" ht="13.5">
      <c r="A291" s="81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7"/>
      <c r="AE291" s="84"/>
      <c r="AF291" s="5"/>
    </row>
    <row r="292" spans="1:32" s="2" customFormat="1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8"/>
      <c r="AE292" s="84"/>
      <c r="AF292" s="5"/>
    </row>
    <row r="293" spans="1:32" s="2" customFormat="1" ht="13.5">
      <c r="A293" s="81"/>
      <c r="B293" s="67"/>
      <c r="C293" s="70">
        <f>IF('演算'!$G$782="OVER","用紙の記入枠を超えているため、＃３は転記できません","")</f>
      </c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7"/>
      <c r="AE293" s="84"/>
      <c r="AF293" s="5"/>
    </row>
    <row r="294" spans="1:32" s="2" customFormat="1" ht="13.5">
      <c r="A294" s="81"/>
      <c r="B294" s="67"/>
      <c r="C294" s="67" t="s">
        <v>434</v>
      </c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154"/>
      <c r="T294" s="154"/>
      <c r="U294" s="1149">
        <f>'演算'!G551</f>
        <v>1310</v>
      </c>
      <c r="V294" s="1149"/>
      <c r="W294" s="1149"/>
      <c r="X294" s="154" t="s">
        <v>413</v>
      </c>
      <c r="Y294" s="154"/>
      <c r="Z294" s="154"/>
      <c r="AA294" s="154"/>
      <c r="AB294" s="154"/>
      <c r="AC294" s="154"/>
      <c r="AD294" s="157"/>
      <c r="AE294" s="84"/>
      <c r="AF294" s="5"/>
    </row>
    <row r="295" spans="1:32" s="2" customFormat="1" ht="69" customHeight="1">
      <c r="A295" s="81"/>
      <c r="B295" s="67"/>
      <c r="C295" s="1166"/>
      <c r="D295" s="1167"/>
      <c r="E295" s="1167"/>
      <c r="F295" s="1167"/>
      <c r="G295" s="1167"/>
      <c r="H295" s="1167"/>
      <c r="I295" s="1167"/>
      <c r="J295" s="1167"/>
      <c r="K295" s="1167"/>
      <c r="L295" s="1167"/>
      <c r="M295" s="1167"/>
      <c r="N295" s="1167"/>
      <c r="O295" s="1167"/>
      <c r="P295" s="1167"/>
      <c r="Q295" s="1167"/>
      <c r="R295" s="1167"/>
      <c r="S295" s="1167"/>
      <c r="T295" s="1167"/>
      <c r="U295" s="1167"/>
      <c r="V295" s="1167"/>
      <c r="W295" s="1167"/>
      <c r="X295" s="1167"/>
      <c r="Y295" s="1167"/>
      <c r="Z295" s="1167"/>
      <c r="AA295" s="1167"/>
      <c r="AB295" s="1167"/>
      <c r="AC295" s="1168"/>
      <c r="AD295" s="159"/>
      <c r="AE295" s="85"/>
      <c r="AF295" s="5"/>
    </row>
    <row r="296" spans="1:32" s="2" customFormat="1" ht="13.5">
      <c r="A296" s="81"/>
      <c r="B296" s="67"/>
      <c r="C296" s="67" t="s">
        <v>425</v>
      </c>
      <c r="D296" s="67"/>
      <c r="E296" s="67"/>
      <c r="F296" s="67"/>
      <c r="G296" s="1138">
        <f>LEN(C295)</f>
        <v>0</v>
      </c>
      <c r="H296" s="1138"/>
      <c r="I296" s="67" t="s">
        <v>412</v>
      </c>
      <c r="J296" s="67"/>
      <c r="K296" s="67"/>
      <c r="L296" s="67"/>
      <c r="M296" s="70" t="str">
        <f>IF('演算'!G782="OVER","",IF(U294=0,"＃３は記入できません",IF(G296&gt;U294,"※　文字数が多過ぎます"," ")))</f>
        <v> </v>
      </c>
      <c r="N296" s="67"/>
      <c r="O296" s="67"/>
      <c r="P296" s="67"/>
      <c r="Q296" s="67"/>
      <c r="R296" s="67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7"/>
      <c r="AE296" s="84"/>
      <c r="AF296" s="5"/>
    </row>
    <row r="297" spans="1:32" s="2" customFormat="1" ht="13.5">
      <c r="A297" s="81"/>
      <c r="B297" s="67"/>
      <c r="C297" s="67"/>
      <c r="D297" s="67"/>
      <c r="E297" s="67"/>
      <c r="F297" s="67"/>
      <c r="G297" s="78"/>
      <c r="H297" s="78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7"/>
      <c r="AE297" s="84"/>
      <c r="AF297" s="5"/>
    </row>
    <row r="298" spans="1:32" s="2" customFormat="1" ht="13.5">
      <c r="A298" s="81"/>
      <c r="B298" s="81"/>
      <c r="C298" s="81"/>
      <c r="D298" s="81"/>
      <c r="E298" s="81"/>
      <c r="F298" s="81"/>
      <c r="G298" s="92"/>
      <c r="H298" s="92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8"/>
      <c r="AE298" s="84"/>
      <c r="AF298" s="5"/>
    </row>
    <row r="299" spans="1:32" s="2" customFormat="1" ht="13.5">
      <c r="A299" s="81"/>
      <c r="B299" s="67"/>
      <c r="C299" s="70">
        <f>IF('演算'!$G$782="OVER","用紙の記入枠を超えているため、＃３は転記できません","")</f>
      </c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7"/>
      <c r="AE299" s="84"/>
      <c r="AF299" s="5"/>
    </row>
    <row r="300" spans="1:32" s="2" customFormat="1" ht="13.5">
      <c r="A300" s="81"/>
      <c r="B300" s="67"/>
      <c r="C300" s="67" t="s">
        <v>27</v>
      </c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154"/>
      <c r="T300" s="154"/>
      <c r="U300" s="154"/>
      <c r="V300" s="154"/>
      <c r="W300" s="1149">
        <f>'演算'!G564</f>
        <v>2487</v>
      </c>
      <c r="X300" s="1149"/>
      <c r="Y300" s="1149"/>
      <c r="Z300" s="154" t="s">
        <v>414</v>
      </c>
      <c r="AA300" s="154"/>
      <c r="AB300" s="154"/>
      <c r="AC300" s="154"/>
      <c r="AD300" s="157"/>
      <c r="AE300" s="84"/>
      <c r="AF300" s="5"/>
    </row>
    <row r="301" spans="1:32" s="2" customFormat="1" ht="135.75" customHeight="1">
      <c r="A301" s="81"/>
      <c r="B301" s="67"/>
      <c r="C301" s="1166"/>
      <c r="D301" s="1167"/>
      <c r="E301" s="1167"/>
      <c r="F301" s="1167"/>
      <c r="G301" s="1167"/>
      <c r="H301" s="1167"/>
      <c r="I301" s="1167"/>
      <c r="J301" s="1167"/>
      <c r="K301" s="1167"/>
      <c r="L301" s="1167"/>
      <c r="M301" s="1167"/>
      <c r="N301" s="1167"/>
      <c r="O301" s="1167"/>
      <c r="P301" s="1167"/>
      <c r="Q301" s="1167"/>
      <c r="R301" s="1167"/>
      <c r="S301" s="1167"/>
      <c r="T301" s="1167"/>
      <c r="U301" s="1167"/>
      <c r="V301" s="1167"/>
      <c r="W301" s="1167"/>
      <c r="X301" s="1167"/>
      <c r="Y301" s="1167"/>
      <c r="Z301" s="1167"/>
      <c r="AA301" s="1167"/>
      <c r="AB301" s="1167"/>
      <c r="AC301" s="1168"/>
      <c r="AD301" s="156"/>
      <c r="AE301" s="83"/>
      <c r="AF301" s="4"/>
    </row>
    <row r="302" spans="1:31" s="2" customFormat="1" ht="13.5">
      <c r="A302" s="81"/>
      <c r="B302" s="67"/>
      <c r="C302" s="67" t="s">
        <v>424</v>
      </c>
      <c r="D302" s="67"/>
      <c r="E302" s="67"/>
      <c r="F302" s="67"/>
      <c r="G302" s="1138">
        <f>LEN(C301)</f>
        <v>0</v>
      </c>
      <c r="H302" s="1138"/>
      <c r="I302" s="67" t="s">
        <v>412</v>
      </c>
      <c r="J302" s="67"/>
      <c r="K302" s="67"/>
      <c r="L302" s="67"/>
      <c r="M302" s="70" t="str">
        <f>IF('演算'!G782="OVER","",IF(W300=0,"＃３は記入できません",IF(G302&gt;W300,"※　文字数が多過ぎます"," ")))</f>
        <v> </v>
      </c>
      <c r="N302" s="67"/>
      <c r="O302" s="67"/>
      <c r="P302" s="67"/>
      <c r="Q302" s="67"/>
      <c r="R302" s="67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81"/>
    </row>
    <row r="303" spans="1:31" s="2" customFormat="1" ht="13.5">
      <c r="A303" s="81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81"/>
    </row>
    <row r="304" spans="1:31" s="2" customFormat="1" ht="13.5">
      <c r="A304" s="81"/>
      <c r="B304" s="67"/>
      <c r="C304" s="67" t="s">
        <v>82</v>
      </c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70">
        <f>IF('演算'!G782="OVER","",IF(W300=0,"＃３は記入できません",""))</f>
      </c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81"/>
    </row>
    <row r="305" spans="1:32" s="2" customFormat="1" ht="13.5">
      <c r="A305" s="81"/>
      <c r="B305" s="67"/>
      <c r="C305" s="1162"/>
      <c r="D305" s="1163"/>
      <c r="E305" s="1163"/>
      <c r="F305" s="1164"/>
      <c r="G305" s="71">
        <f>IF('演算'!G782="OVER","",IF((W300+2)/'演算'!$L$32=1,"※ 担当者は１名しか記入できません",IF(LEN(C305)&gt;'演算'!$L$40,"←文字数が多過ぎます","")))</f>
      </c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60"/>
      <c r="AE305" s="86"/>
      <c r="AF305" s="3"/>
    </row>
    <row r="306" spans="1:32" s="2" customFormat="1" ht="13.5">
      <c r="A306" s="81"/>
      <c r="B306" s="67"/>
      <c r="C306" s="1162"/>
      <c r="D306" s="1163"/>
      <c r="E306" s="1163"/>
      <c r="F306" s="1164"/>
      <c r="G306" s="71">
        <f>IF('演算'!G782="OVER","",IF((W300+2)/'演算'!$L$32=2,"※ 担当者は2名しか記入できません",IF(LEN(C306)&gt;'演算'!$L$40,"←文字数が多過ぎます","")))</f>
      </c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86"/>
      <c r="AF306" s="3"/>
    </row>
    <row r="307" spans="1:32" s="2" customFormat="1" ht="13.5">
      <c r="A307" s="81"/>
      <c r="B307" s="67"/>
      <c r="C307" s="1162"/>
      <c r="D307" s="1163"/>
      <c r="E307" s="1163"/>
      <c r="F307" s="1164"/>
      <c r="G307" s="71">
        <f>IF('演算'!G782="OVER","",IF((W300+2)/'演算'!$L$32=3,"※ 担当者は3名しか記入できません",IF(LEN(C307)&gt;'演算'!$L$40,"←文字数が多過ぎます","")))</f>
      </c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86"/>
      <c r="AF307" s="3"/>
    </row>
    <row r="308" spans="1:32" s="2" customFormat="1" ht="13.5">
      <c r="A308" s="81"/>
      <c r="B308" s="67"/>
      <c r="C308" s="1162"/>
      <c r="D308" s="1163"/>
      <c r="E308" s="1163"/>
      <c r="F308" s="1164"/>
      <c r="G308" s="71">
        <f>IF('演算'!G782="OVER","",IF('演算'!O575="ＯＶＥＲ","※ 担当者の人数が多過ぎます",IF(LEN(C308)&gt;'演算'!$L$40,"←文字数が多過ぎます","")))</f>
      </c>
      <c r="H308" s="71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86"/>
      <c r="AF308" s="3"/>
    </row>
    <row r="309" spans="1:31" s="2" customFormat="1" ht="13.5">
      <c r="A309" s="81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81"/>
    </row>
    <row r="310" spans="1:31" s="2" customFormat="1" ht="13.5">
      <c r="A310" s="81"/>
      <c r="B310" s="67"/>
      <c r="C310" s="67" t="s">
        <v>83</v>
      </c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70">
        <f>IF('演算'!G782="OVER","",IF(W300=0,"＃３は記入できません",""))</f>
      </c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81"/>
    </row>
    <row r="311" spans="1:31" s="2" customFormat="1" ht="13.5">
      <c r="A311" s="81"/>
      <c r="B311" s="67"/>
      <c r="C311" s="1159"/>
      <c r="D311" s="1160"/>
      <c r="E311" s="1160"/>
      <c r="F311" s="1161"/>
      <c r="G311" s="70">
        <f>IF('演算'!G782="OVER","",IF((W300+2)/'演算'!$L$32=1,"※ 頻度はひとつしか記入できません",IF(LEN(C311)&gt;'演算'!$L$49,"←文字数が多過ぎます","")))</f>
      </c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81"/>
    </row>
    <row r="312" spans="1:31" s="2" customFormat="1" ht="13.5">
      <c r="A312" s="81"/>
      <c r="B312" s="67"/>
      <c r="C312" s="1159"/>
      <c r="D312" s="1160"/>
      <c r="E312" s="1160"/>
      <c r="F312" s="1161"/>
      <c r="G312" s="70">
        <f>IF('演算'!G782="OVER","",IF('演算'!O586="ＯＶＥＲ","※ 頻度の記入数が多過ぎます",IF(LEN(C312)&gt;'演算'!$L$49,"←文字数が多過ぎます","")))</f>
      </c>
      <c r="H312" s="71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81"/>
    </row>
    <row r="313" spans="1:31" s="2" customFormat="1" ht="13.5">
      <c r="A313" s="81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81"/>
    </row>
    <row r="314" spans="1:31" s="2" customFormat="1" ht="13.5">
      <c r="A314" s="81"/>
      <c r="B314" s="67"/>
      <c r="C314" s="67" t="s">
        <v>19</v>
      </c>
      <c r="D314" s="67"/>
      <c r="E314" s="67"/>
      <c r="F314" s="67"/>
      <c r="G314" s="67"/>
      <c r="H314" s="67"/>
      <c r="I314" s="67"/>
      <c r="J314" s="67"/>
      <c r="K314" s="67"/>
      <c r="L314" s="70" t="str">
        <f>IF('演算'!G782="OVER","",IF(W300=0,"＃３は記入できません","　"))</f>
        <v>　</v>
      </c>
      <c r="M314" s="67"/>
      <c r="N314" s="67"/>
      <c r="O314" s="67"/>
      <c r="P314" s="67"/>
      <c r="Q314" s="67"/>
      <c r="R314" s="67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81"/>
    </row>
    <row r="315" spans="1:31" s="63" customFormat="1" ht="13.5">
      <c r="A315" s="87"/>
      <c r="B315" s="74"/>
      <c r="C315" s="75" t="s">
        <v>415</v>
      </c>
      <c r="D315" s="1170"/>
      <c r="E315" s="1171"/>
      <c r="F315" s="76" t="s">
        <v>406</v>
      </c>
      <c r="G315" s="1170"/>
      <c r="H315" s="1171"/>
      <c r="I315" s="77" t="s">
        <v>409</v>
      </c>
      <c r="J315" s="1139" t="s">
        <v>497</v>
      </c>
      <c r="K315" s="1139"/>
      <c r="L315" s="1139" t="s">
        <v>416</v>
      </c>
      <c r="M315" s="1139"/>
      <c r="N315" s="1170"/>
      <c r="O315" s="1171"/>
      <c r="P315" s="74" t="s">
        <v>406</v>
      </c>
      <c r="Q315" s="1170"/>
      <c r="R315" s="1171"/>
      <c r="S315" s="161" t="s">
        <v>409</v>
      </c>
      <c r="T315" s="161"/>
      <c r="U315" s="161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87"/>
    </row>
    <row r="316" spans="1:31" s="2" customFormat="1" ht="13.5">
      <c r="A316" s="81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81"/>
    </row>
    <row r="317" spans="1:31" s="2" customFormat="1" ht="13.5">
      <c r="A317" s="81"/>
      <c r="B317" s="67"/>
      <c r="C317" s="67" t="s">
        <v>20</v>
      </c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81"/>
    </row>
    <row r="318" spans="1:31" s="2" customFormat="1" ht="13.5">
      <c r="A318" s="81"/>
      <c r="B318" s="67"/>
      <c r="C318" s="55"/>
      <c r="D318" s="67"/>
      <c r="E318" s="70">
        <f>IF('演算'!G782="OVER","",IF(W300=0,"＃３は記入できません",IF(LEN(C318)&gt;1,"※ 達成度の文字数が多過ぎます","")))</f>
      </c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81"/>
    </row>
    <row r="319" spans="1:31" s="2" customFormat="1" ht="13.5">
      <c r="A319" s="81"/>
      <c r="B319" s="67"/>
      <c r="C319" s="67"/>
      <c r="D319" s="67"/>
      <c r="E319" s="70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81"/>
    </row>
    <row r="320" spans="1:31" s="2" customFormat="1" ht="13.5">
      <c r="A320" s="81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81"/>
    </row>
    <row r="321" spans="1:31" s="2" customFormat="1" ht="13.5">
      <c r="A321" s="81"/>
      <c r="B321" s="67"/>
      <c r="C321" s="70">
        <f>IF('演算'!$G$782="OVER","用紙の記入枠を超えているため、＃３は転記できません","")</f>
      </c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81"/>
    </row>
    <row r="322" spans="1:32" s="2" customFormat="1" ht="13.5">
      <c r="A322" s="81"/>
      <c r="B322" s="67"/>
      <c r="C322" s="67" t="s">
        <v>28</v>
      </c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154"/>
      <c r="T322" s="154"/>
      <c r="U322" s="154"/>
      <c r="V322" s="154"/>
      <c r="W322" s="1149">
        <f>'演算'!G608</f>
        <v>2487</v>
      </c>
      <c r="X322" s="1149"/>
      <c r="Y322" s="1149"/>
      <c r="Z322" s="154" t="s">
        <v>414</v>
      </c>
      <c r="AA322" s="154"/>
      <c r="AB322" s="154"/>
      <c r="AC322" s="154"/>
      <c r="AD322" s="157"/>
      <c r="AE322" s="84"/>
      <c r="AF322" s="5"/>
    </row>
    <row r="323" spans="1:32" s="2" customFormat="1" ht="94.5" customHeight="1">
      <c r="A323" s="81"/>
      <c r="B323" s="67"/>
      <c r="C323" s="1166"/>
      <c r="D323" s="1167"/>
      <c r="E323" s="1167"/>
      <c r="F323" s="1167"/>
      <c r="G323" s="1167"/>
      <c r="H323" s="1167"/>
      <c r="I323" s="1167"/>
      <c r="J323" s="1167"/>
      <c r="K323" s="1167"/>
      <c r="L323" s="1167"/>
      <c r="M323" s="1167"/>
      <c r="N323" s="1167"/>
      <c r="O323" s="1167"/>
      <c r="P323" s="1167"/>
      <c r="Q323" s="1167"/>
      <c r="R323" s="1167"/>
      <c r="S323" s="1167"/>
      <c r="T323" s="1167"/>
      <c r="U323" s="1167"/>
      <c r="V323" s="1167"/>
      <c r="W323" s="1167"/>
      <c r="X323" s="1167"/>
      <c r="Y323" s="1167"/>
      <c r="Z323" s="1167"/>
      <c r="AA323" s="1167"/>
      <c r="AB323" s="1167"/>
      <c r="AC323" s="1168"/>
      <c r="AD323" s="156"/>
      <c r="AE323" s="83"/>
      <c r="AF323" s="4"/>
    </row>
    <row r="324" spans="1:31" s="2" customFormat="1" ht="13.5">
      <c r="A324" s="81"/>
      <c r="B324" s="67"/>
      <c r="C324" s="67" t="s">
        <v>424</v>
      </c>
      <c r="D324" s="67"/>
      <c r="E324" s="67"/>
      <c r="F324" s="67"/>
      <c r="G324" s="1138">
        <f>LEN(C323)</f>
        <v>0</v>
      </c>
      <c r="H324" s="1138"/>
      <c r="I324" s="67" t="s">
        <v>412</v>
      </c>
      <c r="J324" s="67"/>
      <c r="K324" s="67"/>
      <c r="L324" s="67"/>
      <c r="M324" s="70" t="str">
        <f>IF('演算'!G782="OVER","",IF(W322=0,"※　②は記入できません",IF(G324&gt;W322,"※　文字数が多過ぎます"," ")))</f>
        <v> </v>
      </c>
      <c r="N324" s="67"/>
      <c r="O324" s="67"/>
      <c r="P324" s="67"/>
      <c r="Q324" s="67"/>
      <c r="R324" s="67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81"/>
    </row>
    <row r="325" spans="1:31" s="2" customFormat="1" ht="13.5">
      <c r="A325" s="81"/>
      <c r="B325" s="67"/>
      <c r="C325" s="67"/>
      <c r="D325" s="67"/>
      <c r="E325" s="67"/>
      <c r="F325" s="67"/>
      <c r="G325" s="78"/>
      <c r="H325" s="78"/>
      <c r="I325" s="67"/>
      <c r="J325" s="67"/>
      <c r="K325" s="67"/>
      <c r="L325" s="67"/>
      <c r="M325" s="79"/>
      <c r="N325" s="67"/>
      <c r="O325" s="67"/>
      <c r="P325" s="67"/>
      <c r="Q325" s="67"/>
      <c r="R325" s="67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81"/>
    </row>
    <row r="326" spans="1:31" s="2" customFormat="1" ht="13.5">
      <c r="A326" s="81"/>
      <c r="B326" s="67"/>
      <c r="C326" s="67" t="s">
        <v>84</v>
      </c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70">
        <f>IF('演算'!G782="OVER","",IF(W322=0,"※　②は記入できません",""))</f>
      </c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81"/>
    </row>
    <row r="327" spans="1:32" s="2" customFormat="1" ht="13.5">
      <c r="A327" s="81"/>
      <c r="B327" s="67"/>
      <c r="C327" s="1162"/>
      <c r="D327" s="1163"/>
      <c r="E327" s="1163"/>
      <c r="F327" s="1164"/>
      <c r="G327" s="71">
        <f>IF('演算'!G782="OVER","",IF((W322+2)/'演算'!$L$32=1,"※ 担当者は１名しか記入できません",IF(LEN(C327)&gt;'演算'!$L$40,"←文字数が多過ぎます","")))</f>
      </c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60"/>
      <c r="AE327" s="86"/>
      <c r="AF327" s="3"/>
    </row>
    <row r="328" spans="1:32" s="2" customFormat="1" ht="13.5">
      <c r="A328" s="81"/>
      <c r="B328" s="67"/>
      <c r="C328" s="1162"/>
      <c r="D328" s="1163"/>
      <c r="E328" s="1163"/>
      <c r="F328" s="1164"/>
      <c r="G328" s="71">
        <f>IF('演算'!G782="OVER","",IF((W322+2)/'演算'!$L$32=2,"※ 担当者は2名しか記入できません",IF(LEN(C328)&gt;'演算'!$L$40,"←文字数が多過ぎます","")))</f>
      </c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86"/>
      <c r="AF328" s="3"/>
    </row>
    <row r="329" spans="1:32" s="2" customFormat="1" ht="13.5">
      <c r="A329" s="81"/>
      <c r="B329" s="67"/>
      <c r="C329" s="1162"/>
      <c r="D329" s="1163"/>
      <c r="E329" s="1163"/>
      <c r="F329" s="1164"/>
      <c r="G329" s="71">
        <f>IF('演算'!G782="OVER","",IF((W322+2)/'演算'!$L$32=3,"※ 担当者は3名しか記入できません",IF(LEN(C329)&gt;'演算'!$L$40,"←文字数が多過ぎます","")))</f>
      </c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86"/>
      <c r="AF329" s="3"/>
    </row>
    <row r="330" spans="1:32" s="2" customFormat="1" ht="13.5">
      <c r="A330" s="81"/>
      <c r="B330" s="67"/>
      <c r="C330" s="1162"/>
      <c r="D330" s="1163"/>
      <c r="E330" s="1163"/>
      <c r="F330" s="1164"/>
      <c r="G330" s="71">
        <f>IF('演算'!G782="OVER","",IF('演算'!O619="ＯＶＥＲ","※ 担当者の人数が多過ぎます",IF(LEN(C330)&gt;'演算'!$L$40,"←文字数が多過ぎます","")))</f>
      </c>
      <c r="H330" s="71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86"/>
      <c r="AF330" s="3"/>
    </row>
    <row r="331" spans="1:31" s="2" customFormat="1" ht="13.5">
      <c r="A331" s="81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81"/>
    </row>
    <row r="332" spans="1:31" s="2" customFormat="1" ht="13.5">
      <c r="A332" s="81"/>
      <c r="B332" s="67"/>
      <c r="C332" s="67" t="s">
        <v>85</v>
      </c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70">
        <f>IF('演算'!G782="OVER","",IF(W322=0,"※　②は記入できません",""))</f>
      </c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81"/>
    </row>
    <row r="333" spans="1:31" s="2" customFormat="1" ht="13.5">
      <c r="A333" s="81"/>
      <c r="B333" s="67"/>
      <c r="C333" s="1159"/>
      <c r="D333" s="1160"/>
      <c r="E333" s="1160"/>
      <c r="F333" s="1161"/>
      <c r="G333" s="70">
        <f>IF('演算'!G782="OVER","",IF((W322+2)/'演算'!$L$32=1,"※ 頻度はひとつしか記入できません",IF(LEN(C333)&gt;'演算'!$L$49,"←文字数が多過ぎます","")))</f>
      </c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81"/>
    </row>
    <row r="334" spans="1:31" s="2" customFormat="1" ht="13.5">
      <c r="A334" s="81"/>
      <c r="B334" s="67"/>
      <c r="C334" s="1159"/>
      <c r="D334" s="1160"/>
      <c r="E334" s="1160"/>
      <c r="F334" s="1161"/>
      <c r="G334" s="70">
        <f>IF('演算'!G782="OVER","",IF('演算'!O630="ＯＶＥＲ","※ 頻度の記入数が多過ぎます",IF(LEN(C334)&gt;'演算'!$L$49,"←文字数が多過ぎます","")))</f>
      </c>
      <c r="H334" s="71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81"/>
    </row>
    <row r="335" spans="1:31" s="2" customFormat="1" ht="13.5">
      <c r="A335" s="81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81"/>
    </row>
    <row r="336" spans="1:31" s="2" customFormat="1" ht="13.5">
      <c r="A336" s="81"/>
      <c r="B336" s="67"/>
      <c r="C336" s="67" t="s">
        <v>21</v>
      </c>
      <c r="D336" s="67"/>
      <c r="E336" s="67"/>
      <c r="F336" s="67"/>
      <c r="G336" s="67"/>
      <c r="H336" s="67"/>
      <c r="I336" s="67"/>
      <c r="J336" s="67"/>
      <c r="K336" s="67"/>
      <c r="L336" s="70" t="str">
        <f>IF('演算'!G782="OVER","",IF(W322=0,"※　②は記入できません","　"))</f>
        <v>　</v>
      </c>
      <c r="M336" s="67"/>
      <c r="N336" s="67"/>
      <c r="O336" s="67"/>
      <c r="P336" s="67"/>
      <c r="Q336" s="67"/>
      <c r="R336" s="67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81"/>
    </row>
    <row r="337" spans="1:31" s="63" customFormat="1" ht="13.5">
      <c r="A337" s="87"/>
      <c r="B337" s="74"/>
      <c r="C337" s="75" t="s">
        <v>415</v>
      </c>
      <c r="D337" s="1170"/>
      <c r="E337" s="1171"/>
      <c r="F337" s="76" t="s">
        <v>406</v>
      </c>
      <c r="G337" s="1170"/>
      <c r="H337" s="1171"/>
      <c r="I337" s="77" t="s">
        <v>409</v>
      </c>
      <c r="J337" s="1139" t="s">
        <v>497</v>
      </c>
      <c r="K337" s="1139"/>
      <c r="L337" s="1139" t="s">
        <v>416</v>
      </c>
      <c r="M337" s="1139"/>
      <c r="N337" s="1170"/>
      <c r="O337" s="1171"/>
      <c r="P337" s="74" t="s">
        <v>406</v>
      </c>
      <c r="Q337" s="1170"/>
      <c r="R337" s="1171"/>
      <c r="S337" s="161" t="s">
        <v>409</v>
      </c>
      <c r="T337" s="161"/>
      <c r="U337" s="161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87"/>
    </row>
    <row r="338" spans="1:31" s="2" customFormat="1" ht="13.5">
      <c r="A338" s="81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81"/>
    </row>
    <row r="339" spans="1:31" s="2" customFormat="1" ht="13.5">
      <c r="A339" s="81"/>
      <c r="B339" s="67"/>
      <c r="C339" s="67" t="s">
        <v>22</v>
      </c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81"/>
    </row>
    <row r="340" spans="1:31" s="2" customFormat="1" ht="13.5">
      <c r="A340" s="81"/>
      <c r="B340" s="67"/>
      <c r="C340" s="55"/>
      <c r="D340" s="67"/>
      <c r="E340" s="70">
        <f>IF('演算'!G782="OVER","",IF(W322=0,"※　②は記入できません",IF(LEN(C340)&gt;1,"※ 達成度の文字数が多過ぎます","")))</f>
      </c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81"/>
    </row>
    <row r="341" spans="1:31" s="2" customFormat="1" ht="13.5">
      <c r="A341" s="81"/>
      <c r="B341" s="67"/>
      <c r="C341" s="67"/>
      <c r="D341" s="67"/>
      <c r="E341" s="70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81"/>
    </row>
    <row r="342" spans="1:31" s="2" customFormat="1" ht="13.5">
      <c r="A342" s="81"/>
      <c r="B342" s="54"/>
      <c r="C342" s="54"/>
      <c r="D342" s="54"/>
      <c r="E342" s="54"/>
      <c r="F342" s="54"/>
      <c r="G342" s="88"/>
      <c r="H342" s="88"/>
      <c r="I342" s="54"/>
      <c r="J342" s="54"/>
      <c r="K342" s="54"/>
      <c r="L342" s="54"/>
      <c r="M342" s="89"/>
      <c r="N342" s="54"/>
      <c r="O342" s="54"/>
      <c r="P342" s="54"/>
      <c r="Q342" s="54"/>
      <c r="R342" s="54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81"/>
    </row>
    <row r="343" spans="1:31" s="2" customFormat="1" ht="13.5">
      <c r="A343" s="81"/>
      <c r="B343" s="67"/>
      <c r="C343" s="70">
        <f>IF('演算'!$G$782="OVER","用紙の記入枠を超えているため、＃３は転記できません","")</f>
      </c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81"/>
    </row>
    <row r="344" spans="1:32" s="2" customFormat="1" ht="17.25">
      <c r="A344" s="81"/>
      <c r="B344" s="67"/>
      <c r="C344" s="67" t="s">
        <v>30</v>
      </c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154"/>
      <c r="T344" s="154"/>
      <c r="U344" s="154"/>
      <c r="V344" s="154"/>
      <c r="W344" s="1149">
        <f>'演算'!G652</f>
        <v>2487</v>
      </c>
      <c r="X344" s="1149"/>
      <c r="Y344" s="1149"/>
      <c r="Z344" s="154" t="s">
        <v>414</v>
      </c>
      <c r="AA344" s="154"/>
      <c r="AB344" s="154"/>
      <c r="AC344" s="154"/>
      <c r="AD344" s="157"/>
      <c r="AE344" s="84"/>
      <c r="AF344" s="5"/>
    </row>
    <row r="345" spans="1:32" s="2" customFormat="1" ht="94.5" customHeight="1">
      <c r="A345" s="81"/>
      <c r="B345" s="67"/>
      <c r="C345" s="1166"/>
      <c r="D345" s="1167"/>
      <c r="E345" s="1167"/>
      <c r="F345" s="1167"/>
      <c r="G345" s="1167"/>
      <c r="H345" s="1167"/>
      <c r="I345" s="1167"/>
      <c r="J345" s="1167"/>
      <c r="K345" s="1167"/>
      <c r="L345" s="1167"/>
      <c r="M345" s="1167"/>
      <c r="N345" s="1167"/>
      <c r="O345" s="1167"/>
      <c r="P345" s="1167"/>
      <c r="Q345" s="1167"/>
      <c r="R345" s="1167"/>
      <c r="S345" s="1167"/>
      <c r="T345" s="1167"/>
      <c r="U345" s="1167"/>
      <c r="V345" s="1167"/>
      <c r="W345" s="1167"/>
      <c r="X345" s="1167"/>
      <c r="Y345" s="1167"/>
      <c r="Z345" s="1167"/>
      <c r="AA345" s="1167"/>
      <c r="AB345" s="1167"/>
      <c r="AC345" s="1168"/>
      <c r="AD345" s="156"/>
      <c r="AE345" s="83"/>
      <c r="AF345" s="4"/>
    </row>
    <row r="346" spans="1:31" s="2" customFormat="1" ht="13.5">
      <c r="A346" s="81"/>
      <c r="B346" s="67"/>
      <c r="C346" s="67" t="s">
        <v>424</v>
      </c>
      <c r="D346" s="67"/>
      <c r="E346" s="67"/>
      <c r="F346" s="67"/>
      <c r="G346" s="1138">
        <f>LEN(C345)</f>
        <v>0</v>
      </c>
      <c r="H346" s="1138"/>
      <c r="I346" s="67" t="s">
        <v>412</v>
      </c>
      <c r="J346" s="67"/>
      <c r="K346" s="67"/>
      <c r="L346" s="67"/>
      <c r="M346" s="70" t="str">
        <f>IF('演算'!G782="OVER","",IF(W344=0,"※　③は記入できません",IF(G346&gt;W344,"※　文字数が多過ぎて転記できません"," ")))</f>
        <v> </v>
      </c>
      <c r="N346" s="67"/>
      <c r="O346" s="67"/>
      <c r="P346" s="67"/>
      <c r="Q346" s="67"/>
      <c r="R346" s="67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81"/>
    </row>
    <row r="347" spans="1:31" s="2" customFormat="1" ht="13.5">
      <c r="A347" s="81"/>
      <c r="B347" s="67"/>
      <c r="C347" s="67"/>
      <c r="D347" s="67"/>
      <c r="E347" s="67"/>
      <c r="F347" s="67"/>
      <c r="G347" s="78"/>
      <c r="H347" s="78"/>
      <c r="I347" s="67"/>
      <c r="J347" s="67"/>
      <c r="K347" s="67"/>
      <c r="L347" s="67"/>
      <c r="M347" s="70"/>
      <c r="N347" s="67"/>
      <c r="O347" s="67"/>
      <c r="P347" s="67"/>
      <c r="Q347" s="67"/>
      <c r="R347" s="67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81"/>
    </row>
    <row r="348" spans="1:31" s="2" customFormat="1" ht="13.5">
      <c r="A348" s="81"/>
      <c r="B348" s="67"/>
      <c r="C348" s="67" t="s">
        <v>96</v>
      </c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70">
        <f>IF('演算'!G782="OVER","",IF($W$344=0,"※　③は記入できません",""))</f>
      </c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81"/>
    </row>
    <row r="349" spans="1:32" s="2" customFormat="1" ht="13.5">
      <c r="A349" s="81"/>
      <c r="B349" s="67"/>
      <c r="C349" s="1162"/>
      <c r="D349" s="1163"/>
      <c r="E349" s="1163"/>
      <c r="F349" s="1164"/>
      <c r="G349" s="71">
        <f>IF('演算'!G782="OVER","",IF((W344+2)/'演算'!$L$32=1,"※ 担当者は１名しか記入できません",IF(LEN(C349)&gt;'演算'!$L$40,"←文字数が多過ぎます","")))</f>
      </c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60"/>
      <c r="AE349" s="86"/>
      <c r="AF349" s="3"/>
    </row>
    <row r="350" spans="1:32" s="2" customFormat="1" ht="13.5">
      <c r="A350" s="81"/>
      <c r="B350" s="67"/>
      <c r="C350" s="1162"/>
      <c r="D350" s="1163"/>
      <c r="E350" s="1163"/>
      <c r="F350" s="1164"/>
      <c r="G350" s="71">
        <f>IF('演算'!G782="OVER","",IF((W344+2)/'演算'!$L$32=2,"※ 担当者は2名しか記入できません",IF(LEN(C350)&gt;'演算'!$L$40,"←文字数が多過ぎません","")))</f>
      </c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86"/>
      <c r="AF350" s="3"/>
    </row>
    <row r="351" spans="1:32" s="2" customFormat="1" ht="13.5">
      <c r="A351" s="81"/>
      <c r="B351" s="67"/>
      <c r="C351" s="1162"/>
      <c r="D351" s="1163"/>
      <c r="E351" s="1163"/>
      <c r="F351" s="1164"/>
      <c r="G351" s="71">
        <f>IF('演算'!G782="OVER","",IF((W344+2)/'演算'!$L$32=3,"※ 担当者は3名しか記入できません",IF(LEN(C351)&gt;'演算'!$L$40,"←文字数が多過ぎます","")))</f>
      </c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86"/>
      <c r="AF351" s="3"/>
    </row>
    <row r="352" spans="1:32" s="2" customFormat="1" ht="13.5">
      <c r="A352" s="81"/>
      <c r="B352" s="67"/>
      <c r="C352" s="1162"/>
      <c r="D352" s="1163"/>
      <c r="E352" s="1163"/>
      <c r="F352" s="1164"/>
      <c r="G352" s="71">
        <f>IF('演算'!G782="OVER","",IF('演算'!O663="ＯＶＥＲ","※ 担当者の人数が多過ぎます",IF(LEN(C352)&gt;'演算'!$L$40,"←文字数が多過ぎます","")))</f>
      </c>
      <c r="H352" s="71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86"/>
      <c r="AF352" s="3"/>
    </row>
    <row r="353" spans="1:31" s="2" customFormat="1" ht="13.5">
      <c r="A353" s="81"/>
      <c r="B353" s="67"/>
      <c r="C353" s="80"/>
      <c r="D353" s="80"/>
      <c r="E353" s="80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81"/>
    </row>
    <row r="354" spans="1:31" s="2" customFormat="1" ht="13.5">
      <c r="A354" s="81"/>
      <c r="B354" s="67"/>
      <c r="C354" s="80" t="s">
        <v>97</v>
      </c>
      <c r="D354" s="80"/>
      <c r="E354" s="80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70">
        <f>IF('演算'!G782="OVER","",IF($W$344=0,"※　③は記入できません",""))</f>
      </c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81"/>
    </row>
    <row r="355" spans="1:31" s="2" customFormat="1" ht="13.5">
      <c r="A355" s="81"/>
      <c r="B355" s="67"/>
      <c r="C355" s="1159"/>
      <c r="D355" s="1160"/>
      <c r="E355" s="1160"/>
      <c r="F355" s="1161"/>
      <c r="G355" s="70">
        <f>IF('演算'!G782="OVER","",IF((W344+2)/'演算'!$L$32=1,"※ 頻度はひとつしか記入できません",IF(LEN(C355)&gt;'演算'!$L$49,"←文字数が多過ぎます","")))</f>
      </c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81"/>
    </row>
    <row r="356" spans="1:31" s="2" customFormat="1" ht="13.5">
      <c r="A356" s="81"/>
      <c r="B356" s="67"/>
      <c r="C356" s="1159"/>
      <c r="D356" s="1160"/>
      <c r="E356" s="1160"/>
      <c r="F356" s="1161"/>
      <c r="G356" s="70">
        <f>IF('演算'!G782="OVER","",IF('演算'!O674="ＯＶＥＲ","※ 頻度の記入数が多過ぎます",IF(LEN(C356)&gt;'演算'!$L$49,"←文字数が多過ぎます","")))</f>
      </c>
      <c r="H356" s="71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81"/>
    </row>
    <row r="357" spans="1:31" s="2" customFormat="1" ht="13.5">
      <c r="A357" s="81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81"/>
    </row>
    <row r="358" spans="1:31" s="2" customFormat="1" ht="13.5">
      <c r="A358" s="81"/>
      <c r="B358" s="67"/>
      <c r="C358" s="67" t="s">
        <v>23</v>
      </c>
      <c r="D358" s="67"/>
      <c r="E358" s="67"/>
      <c r="F358" s="67"/>
      <c r="G358" s="67"/>
      <c r="H358" s="67"/>
      <c r="I358" s="67"/>
      <c r="J358" s="67"/>
      <c r="K358" s="67"/>
      <c r="L358" s="179" t="str">
        <f>IF('演算'!G782="OVER","",IF(W344=0,"※　③は記入できません"," "))</f>
        <v> </v>
      </c>
      <c r="M358" s="67"/>
      <c r="N358" s="67"/>
      <c r="O358" s="67"/>
      <c r="P358" s="67"/>
      <c r="Q358" s="67"/>
      <c r="R358" s="67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81"/>
    </row>
    <row r="359" spans="1:31" s="177" customFormat="1" ht="13.5">
      <c r="A359" s="153"/>
      <c r="B359" s="154"/>
      <c r="C359" s="174" t="s">
        <v>415</v>
      </c>
      <c r="D359" s="1157"/>
      <c r="E359" s="1158"/>
      <c r="F359" s="175" t="s">
        <v>406</v>
      </c>
      <c r="G359" s="1157"/>
      <c r="H359" s="1158"/>
      <c r="I359" s="176" t="s">
        <v>409</v>
      </c>
      <c r="J359" s="1148" t="s">
        <v>497</v>
      </c>
      <c r="K359" s="1148"/>
      <c r="L359" s="1148" t="s">
        <v>416</v>
      </c>
      <c r="M359" s="1148"/>
      <c r="N359" s="1157"/>
      <c r="O359" s="1158"/>
      <c r="P359" s="154" t="s">
        <v>406</v>
      </c>
      <c r="Q359" s="1157"/>
      <c r="R359" s="1158"/>
      <c r="S359" s="161" t="s">
        <v>409</v>
      </c>
      <c r="T359" s="161"/>
      <c r="U359" s="161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3"/>
    </row>
    <row r="360" spans="1:31" s="2" customFormat="1" ht="13.5">
      <c r="A360" s="81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81"/>
    </row>
    <row r="361" spans="1:31" s="2" customFormat="1" ht="13.5">
      <c r="A361" s="81"/>
      <c r="B361" s="67"/>
      <c r="C361" s="67" t="s">
        <v>24</v>
      </c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81"/>
    </row>
    <row r="362" spans="1:31" s="2" customFormat="1" ht="13.5">
      <c r="A362" s="81"/>
      <c r="B362" s="67"/>
      <c r="C362" s="55"/>
      <c r="D362" s="67"/>
      <c r="E362" s="70">
        <f>IF('演算'!G782="OVER","",IF(W344=0,"※　③は記入できません",IF(LEN(C362)&gt;1,"※ 達成度の文字数が多過ぎます","")))</f>
      </c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81"/>
    </row>
    <row r="363" spans="1:31" s="2" customFormat="1" ht="13.5">
      <c r="A363" s="81"/>
      <c r="B363" s="67"/>
      <c r="C363" s="67"/>
      <c r="D363" s="67"/>
      <c r="E363" s="70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81"/>
    </row>
    <row r="364" spans="1:31" s="2" customFormat="1" ht="13.5">
      <c r="A364" s="81"/>
      <c r="B364" s="54"/>
      <c r="C364" s="54"/>
      <c r="D364" s="54"/>
      <c r="E364" s="54"/>
      <c r="F364" s="54"/>
      <c r="G364" s="88"/>
      <c r="H364" s="88"/>
      <c r="I364" s="54"/>
      <c r="J364" s="54"/>
      <c r="K364" s="54"/>
      <c r="L364" s="54"/>
      <c r="M364" s="90"/>
      <c r="N364" s="54"/>
      <c r="O364" s="54"/>
      <c r="P364" s="54"/>
      <c r="Q364" s="54"/>
      <c r="R364" s="54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81"/>
    </row>
    <row r="365" spans="1:31" s="2" customFormat="1" ht="13.5">
      <c r="A365" s="81"/>
      <c r="B365" s="67"/>
      <c r="C365" s="70">
        <f>IF('演算'!$G$782="OVER","用紙の記入枠を超えているため、＃３は転記できません","")</f>
      </c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81"/>
    </row>
    <row r="366" spans="1:32" s="2" customFormat="1" ht="17.25">
      <c r="A366" s="81"/>
      <c r="B366" s="67"/>
      <c r="C366" s="67" t="s">
        <v>31</v>
      </c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154"/>
      <c r="T366" s="154"/>
      <c r="U366" s="154"/>
      <c r="V366" s="154"/>
      <c r="W366" s="1149">
        <f>'演算'!G696</f>
        <v>2487</v>
      </c>
      <c r="X366" s="1149"/>
      <c r="Y366" s="1149"/>
      <c r="Z366" s="154" t="s">
        <v>414</v>
      </c>
      <c r="AA366" s="154"/>
      <c r="AB366" s="154"/>
      <c r="AC366" s="154"/>
      <c r="AD366" s="157"/>
      <c r="AE366" s="84"/>
      <c r="AF366" s="5"/>
    </row>
    <row r="367" spans="1:32" s="2" customFormat="1" ht="94.5" customHeight="1">
      <c r="A367" s="81"/>
      <c r="B367" s="67"/>
      <c r="C367" s="1166"/>
      <c r="D367" s="1167"/>
      <c r="E367" s="1167"/>
      <c r="F367" s="1167"/>
      <c r="G367" s="1167"/>
      <c r="H367" s="1167"/>
      <c r="I367" s="1167"/>
      <c r="J367" s="1167"/>
      <c r="K367" s="1167"/>
      <c r="L367" s="1167"/>
      <c r="M367" s="1167"/>
      <c r="N367" s="1167"/>
      <c r="O367" s="1167"/>
      <c r="P367" s="1167"/>
      <c r="Q367" s="1167"/>
      <c r="R367" s="1167"/>
      <c r="S367" s="1167"/>
      <c r="T367" s="1167"/>
      <c r="U367" s="1167"/>
      <c r="V367" s="1167"/>
      <c r="W367" s="1167"/>
      <c r="X367" s="1167"/>
      <c r="Y367" s="1167"/>
      <c r="Z367" s="1167"/>
      <c r="AA367" s="1167"/>
      <c r="AB367" s="1167"/>
      <c r="AC367" s="1168"/>
      <c r="AD367" s="156"/>
      <c r="AE367" s="83"/>
      <c r="AF367" s="4"/>
    </row>
    <row r="368" spans="1:31" s="2" customFormat="1" ht="13.5">
      <c r="A368" s="81"/>
      <c r="B368" s="67"/>
      <c r="C368" s="67" t="s">
        <v>424</v>
      </c>
      <c r="D368" s="67"/>
      <c r="E368" s="67"/>
      <c r="F368" s="67"/>
      <c r="G368" s="1138">
        <f>LEN(C367)</f>
        <v>0</v>
      </c>
      <c r="H368" s="1138"/>
      <c r="I368" s="67" t="s">
        <v>412</v>
      </c>
      <c r="J368" s="67"/>
      <c r="K368" s="67"/>
      <c r="L368" s="123"/>
      <c r="M368" s="70" t="str">
        <f>IF('演算'!G782="OVER","",IF(W366=0,"※　④は記入できません",IF(G368&gt;W366,"※　文字数が多過ぎて転記できません"," ")))</f>
        <v> </v>
      </c>
      <c r="N368" s="67"/>
      <c r="O368" s="67"/>
      <c r="P368" s="67"/>
      <c r="Q368" s="67"/>
      <c r="R368" s="67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81"/>
    </row>
    <row r="369" spans="1:31" s="2" customFormat="1" ht="13.5">
      <c r="A369" s="81"/>
      <c r="B369" s="67"/>
      <c r="C369" s="67"/>
      <c r="D369" s="67"/>
      <c r="E369" s="67"/>
      <c r="F369" s="67"/>
      <c r="G369" s="78"/>
      <c r="H369" s="78"/>
      <c r="I369" s="67"/>
      <c r="J369" s="67"/>
      <c r="K369" s="67"/>
      <c r="L369" s="67"/>
      <c r="M369" s="70"/>
      <c r="N369" s="67"/>
      <c r="O369" s="67"/>
      <c r="P369" s="67"/>
      <c r="Q369" s="67"/>
      <c r="R369" s="67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81"/>
    </row>
    <row r="370" spans="1:31" s="2" customFormat="1" ht="13.5">
      <c r="A370" s="81"/>
      <c r="B370" s="67"/>
      <c r="C370" s="67" t="s">
        <v>86</v>
      </c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178" t="str">
        <f>IF('演算'!G782="OVER","",IF($W$366=0,"※　④は記入できません","　"))</f>
        <v>　</v>
      </c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81"/>
    </row>
    <row r="371" spans="1:32" s="2" customFormat="1" ht="13.5">
      <c r="A371" s="81"/>
      <c r="B371" s="67"/>
      <c r="C371" s="1162"/>
      <c r="D371" s="1163"/>
      <c r="E371" s="1163"/>
      <c r="F371" s="1164"/>
      <c r="G371" s="71">
        <f>IF('演算'!G782="OVER","",IF((W366+2)/'演算'!$L$32=1,"※ 担当者は１名しか記入できません",IF(LEN(C371)&gt;'演算'!$L$40,"←文字数が多過ぎます","")))</f>
      </c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1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60"/>
      <c r="AE371" s="86"/>
      <c r="AF371" s="3"/>
    </row>
    <row r="372" spans="1:32" s="2" customFormat="1" ht="13.5">
      <c r="A372" s="81"/>
      <c r="B372" s="67"/>
      <c r="C372" s="1162"/>
      <c r="D372" s="1163"/>
      <c r="E372" s="1163"/>
      <c r="F372" s="1164"/>
      <c r="G372" s="71">
        <f>IF('演算'!G782="OVER","",IF((W366+2)/'演算'!$L$32=2,"※ 担当者は2名しか記入できません",IF(LEN(C372)&gt;'演算'!$L$40,"←文字数が多過ぎます","")))</f>
      </c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86"/>
      <c r="AF372" s="3"/>
    </row>
    <row r="373" spans="1:32" s="2" customFormat="1" ht="13.5">
      <c r="A373" s="81"/>
      <c r="B373" s="67"/>
      <c r="C373" s="1162"/>
      <c r="D373" s="1163"/>
      <c r="E373" s="1163"/>
      <c r="F373" s="1164"/>
      <c r="G373" s="71">
        <f>IF('演算'!G782="OVER","",IF((W366+2)/'演算'!$L$32=3,"※ 担当者は3名しか記入できません",IF(LEN(C373)&gt;'演算'!$L$40,"←文字数が多過ぎます","")))</f>
      </c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86"/>
      <c r="AF373" s="3"/>
    </row>
    <row r="374" spans="1:32" s="2" customFormat="1" ht="13.5">
      <c r="A374" s="81"/>
      <c r="B374" s="67"/>
      <c r="C374" s="1162"/>
      <c r="D374" s="1163"/>
      <c r="E374" s="1163"/>
      <c r="F374" s="1164"/>
      <c r="G374" s="71">
        <f>IF('演算'!G782="OVER","",IF('演算'!O707="ＯＶＥＲ","※ 担当者の人数が多過ぎます",IF(LEN(C374)&gt;'演算'!$L$40,"←文字数が多過ぎます","")))</f>
      </c>
      <c r="H374" s="71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86"/>
      <c r="AF374" s="3"/>
    </row>
    <row r="375" spans="1:31" s="2" customFormat="1" ht="13.5">
      <c r="A375" s="81"/>
      <c r="B375" s="67"/>
      <c r="C375" s="80"/>
      <c r="D375" s="80"/>
      <c r="E375" s="80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81"/>
    </row>
    <row r="376" spans="1:31" s="2" customFormat="1" ht="13.5">
      <c r="A376" s="81"/>
      <c r="B376" s="67"/>
      <c r="C376" s="80" t="s">
        <v>87</v>
      </c>
      <c r="D376" s="80"/>
      <c r="E376" s="80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71" t="str">
        <f>IF('演算'!G782="OVER","",IF($W$366=0,"※　④は記入できません","　"))</f>
        <v>　</v>
      </c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81"/>
    </row>
    <row r="377" spans="1:31" s="2" customFormat="1" ht="13.5">
      <c r="A377" s="81"/>
      <c r="B377" s="67"/>
      <c r="C377" s="1159"/>
      <c r="D377" s="1160"/>
      <c r="E377" s="1160"/>
      <c r="F377" s="1161"/>
      <c r="G377" s="70">
        <f>IF('演算'!G782="OVER","",IF((W366+2)/'演算'!$L$32=1,"※ 頻度はひとつしか記入できません",IF(LEN(C377)&gt;'演算'!$L$49,"←文字数が多過ぎます","")))</f>
      </c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71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81"/>
    </row>
    <row r="378" spans="1:31" s="2" customFormat="1" ht="13.5">
      <c r="A378" s="81"/>
      <c r="B378" s="67"/>
      <c r="C378" s="1159"/>
      <c r="D378" s="1160"/>
      <c r="E378" s="1160"/>
      <c r="F378" s="1161"/>
      <c r="G378" s="70">
        <f>IF('演算'!G782="OVER","",IF('演算'!O718="ＯＶＥＲ","※ 頻度の記入数が多過ぎます",IF(LEN(C378)&gt;'演算'!$L$49,"←文字数が多過ぎます","")))</f>
      </c>
      <c r="H378" s="71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81"/>
    </row>
    <row r="379" spans="1:31" s="177" customFormat="1" ht="13.5">
      <c r="A379" s="153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3"/>
    </row>
    <row r="380" spans="1:31" s="177" customFormat="1" ht="13.5">
      <c r="A380" s="153"/>
      <c r="B380" s="154"/>
      <c r="C380" s="154" t="s">
        <v>25</v>
      </c>
      <c r="D380" s="154"/>
      <c r="E380" s="154"/>
      <c r="F380" s="154"/>
      <c r="G380" s="154"/>
      <c r="H380" s="154"/>
      <c r="I380" s="154"/>
      <c r="J380" s="154"/>
      <c r="K380" s="154"/>
      <c r="L380" s="178" t="str">
        <f>IF('演算'!G782="OVER","",IF($W$366=0,"※　④は記入できません","　"))</f>
        <v>　</v>
      </c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3"/>
    </row>
    <row r="381" spans="1:31" s="177" customFormat="1" ht="13.5">
      <c r="A381" s="153"/>
      <c r="B381" s="154"/>
      <c r="C381" s="174" t="s">
        <v>415</v>
      </c>
      <c r="D381" s="1157"/>
      <c r="E381" s="1158"/>
      <c r="F381" s="175" t="s">
        <v>406</v>
      </c>
      <c r="G381" s="1157"/>
      <c r="H381" s="1158"/>
      <c r="I381" s="176" t="s">
        <v>409</v>
      </c>
      <c r="J381" s="1148" t="s">
        <v>497</v>
      </c>
      <c r="K381" s="1148"/>
      <c r="L381" s="1148" t="s">
        <v>416</v>
      </c>
      <c r="M381" s="1148"/>
      <c r="N381" s="1157"/>
      <c r="O381" s="1158"/>
      <c r="P381" s="154" t="s">
        <v>406</v>
      </c>
      <c r="Q381" s="1157"/>
      <c r="R381" s="1158"/>
      <c r="S381" s="161" t="s">
        <v>409</v>
      </c>
      <c r="T381" s="161"/>
      <c r="U381" s="161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3"/>
    </row>
    <row r="382" spans="1:31" s="177" customFormat="1" ht="13.5">
      <c r="A382" s="153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61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3"/>
    </row>
    <row r="383" spans="1:31" s="2" customFormat="1" ht="13.5">
      <c r="A383" s="81"/>
      <c r="B383" s="67"/>
      <c r="C383" s="67" t="s">
        <v>26</v>
      </c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81"/>
    </row>
    <row r="384" spans="1:31" s="2" customFormat="1" ht="13.5">
      <c r="A384" s="81"/>
      <c r="B384" s="67"/>
      <c r="C384" s="55"/>
      <c r="D384" s="67"/>
      <c r="E384" s="70">
        <f>IF('演算'!G782="OVER","",IF(W366=0,"※　④は記入できません",IF(LEN(C384)&gt;1,"※ 達成度の文字数が多過ぎます","")))</f>
      </c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81"/>
    </row>
    <row r="385" spans="1:31" s="2" customFormat="1" ht="14.25" customHeight="1">
      <c r="A385" s="81"/>
      <c r="B385" s="67"/>
      <c r="C385" s="67"/>
      <c r="D385" s="67"/>
      <c r="E385" s="70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81"/>
    </row>
    <row r="386" spans="1:31" s="2" customFormat="1" ht="13.5">
      <c r="A386" s="81"/>
      <c r="B386" s="54"/>
      <c r="C386" s="54"/>
      <c r="D386" s="54"/>
      <c r="E386" s="54"/>
      <c r="F386" s="54"/>
      <c r="G386" s="88"/>
      <c r="H386" s="88"/>
      <c r="I386" s="54"/>
      <c r="J386" s="54"/>
      <c r="K386" s="54"/>
      <c r="L386" s="54"/>
      <c r="M386" s="90"/>
      <c r="N386" s="54"/>
      <c r="O386" s="54"/>
      <c r="P386" s="54"/>
      <c r="Q386" s="54"/>
      <c r="R386" s="54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81"/>
    </row>
    <row r="387" spans="1:31" s="2" customFormat="1" ht="13.5">
      <c r="A387" s="81"/>
      <c r="B387" s="67"/>
      <c r="C387" s="70">
        <f>IF('演算'!$G$782="OVER","用紙の記入枠を超えているため、＃３は転記できません","")</f>
      </c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81"/>
    </row>
    <row r="388" spans="1:32" s="2" customFormat="1" ht="17.25">
      <c r="A388" s="81"/>
      <c r="B388" s="67"/>
      <c r="C388" s="67" t="s">
        <v>200</v>
      </c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154"/>
      <c r="T388" s="154"/>
      <c r="U388" s="154"/>
      <c r="V388" s="154"/>
      <c r="W388" s="1149">
        <f>'演算'!G740</f>
        <v>2487</v>
      </c>
      <c r="X388" s="1149"/>
      <c r="Y388" s="1149"/>
      <c r="Z388" s="154" t="s">
        <v>414</v>
      </c>
      <c r="AA388" s="154"/>
      <c r="AB388" s="154"/>
      <c r="AC388" s="154"/>
      <c r="AD388" s="157"/>
      <c r="AE388" s="84"/>
      <c r="AF388" s="5"/>
    </row>
    <row r="389" spans="1:32" s="2" customFormat="1" ht="94.5" customHeight="1">
      <c r="A389" s="81"/>
      <c r="B389" s="67"/>
      <c r="C389" s="1166"/>
      <c r="D389" s="1167"/>
      <c r="E389" s="1167"/>
      <c r="F389" s="1167"/>
      <c r="G389" s="1167"/>
      <c r="H389" s="1167"/>
      <c r="I389" s="1167"/>
      <c r="J389" s="1167"/>
      <c r="K389" s="1167"/>
      <c r="L389" s="1167"/>
      <c r="M389" s="1167"/>
      <c r="N389" s="1167"/>
      <c r="O389" s="1167"/>
      <c r="P389" s="1167"/>
      <c r="Q389" s="1167"/>
      <c r="R389" s="1167"/>
      <c r="S389" s="1167"/>
      <c r="T389" s="1167"/>
      <c r="U389" s="1167"/>
      <c r="V389" s="1167"/>
      <c r="W389" s="1167"/>
      <c r="X389" s="1167"/>
      <c r="Y389" s="1167"/>
      <c r="Z389" s="1167"/>
      <c r="AA389" s="1167"/>
      <c r="AB389" s="1167"/>
      <c r="AC389" s="1168"/>
      <c r="AD389" s="156"/>
      <c r="AE389" s="83"/>
      <c r="AF389" s="4"/>
    </row>
    <row r="390" spans="1:31" s="2" customFormat="1" ht="13.5">
      <c r="A390" s="81"/>
      <c r="B390" s="67"/>
      <c r="C390" s="67" t="s">
        <v>424</v>
      </c>
      <c r="D390" s="67"/>
      <c r="E390" s="67"/>
      <c r="F390" s="67"/>
      <c r="G390" s="1138">
        <f>LEN(C389)</f>
        <v>0</v>
      </c>
      <c r="H390" s="1138"/>
      <c r="I390" s="67" t="s">
        <v>412</v>
      </c>
      <c r="J390" s="67"/>
      <c r="K390" s="67"/>
      <c r="L390" s="123"/>
      <c r="M390" s="70" t="str">
        <f>IF('演算'!G782="OVER","",IF(W388=0,"※　⑤は記入できません",IF(G390&gt;W388,"※　文字数が多過ぎて転記できません"," ")))</f>
        <v> </v>
      </c>
      <c r="N390" s="67"/>
      <c r="O390" s="67"/>
      <c r="P390" s="67"/>
      <c r="Q390" s="67"/>
      <c r="R390" s="67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81"/>
    </row>
    <row r="391" spans="1:31" s="2" customFormat="1" ht="13.5">
      <c r="A391" s="82"/>
      <c r="B391" s="67"/>
      <c r="C391" s="67"/>
      <c r="D391" s="67"/>
      <c r="E391" s="67"/>
      <c r="F391" s="67"/>
      <c r="G391" s="78"/>
      <c r="H391" s="78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81"/>
    </row>
    <row r="392" spans="1:31" s="2" customFormat="1" ht="13.5">
      <c r="A392" s="81"/>
      <c r="B392" s="67"/>
      <c r="C392" s="67" t="s">
        <v>201</v>
      </c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178" t="str">
        <f>IF('演算'!G782="OVER","",IF(W388=0,"※　⑤は記入できません","　"))</f>
        <v>　</v>
      </c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81"/>
    </row>
    <row r="393" spans="1:32" s="2" customFormat="1" ht="13.5">
      <c r="A393" s="81"/>
      <c r="B393" s="67"/>
      <c r="C393" s="1162"/>
      <c r="D393" s="1163"/>
      <c r="E393" s="1163"/>
      <c r="F393" s="1164"/>
      <c r="G393" s="71">
        <f>IF('演算'!G782="OVER","",IF((W388+2)/'演算'!$L$32=1,"※ 担当者は１名しか記入できません",IF(LEN(C393)&gt;'演算'!$L$40,"←文字数が多過ぎます","")))</f>
      </c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1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60"/>
      <c r="AE393" s="86"/>
      <c r="AF393" s="3"/>
    </row>
    <row r="394" spans="1:32" s="2" customFormat="1" ht="13.5">
      <c r="A394" s="81"/>
      <c r="B394" s="67"/>
      <c r="C394" s="1162"/>
      <c r="D394" s="1163"/>
      <c r="E394" s="1163"/>
      <c r="F394" s="1164"/>
      <c r="G394" s="71">
        <f>IF('演算'!G782="OVER","",IF((W388+2)/'演算'!$L$32=2,"※ 担当者は2名しか記入できません",IF(LEN(C394)&gt;'演算'!$L$40,"←文字数が多過ぎます","")))</f>
      </c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86"/>
      <c r="AF394" s="3"/>
    </row>
    <row r="395" spans="1:32" s="2" customFormat="1" ht="13.5">
      <c r="A395" s="81"/>
      <c r="B395" s="67"/>
      <c r="C395" s="1162"/>
      <c r="D395" s="1163"/>
      <c r="E395" s="1163"/>
      <c r="F395" s="1164"/>
      <c r="G395" s="71">
        <f>IF('演算'!G782="OVER","",IF((W388+2)/'演算'!$L$32=3,"※ 担当者は3名しか記入できません",IF(LEN(C395)&gt;'演算'!$L$40,"←文字数が多過ぎます","")))</f>
      </c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86"/>
      <c r="AF395" s="3"/>
    </row>
    <row r="396" spans="1:32" s="2" customFormat="1" ht="13.5">
      <c r="A396" s="81"/>
      <c r="B396" s="67"/>
      <c r="C396" s="1162"/>
      <c r="D396" s="1163"/>
      <c r="E396" s="1163"/>
      <c r="F396" s="1164"/>
      <c r="G396" s="71">
        <f>IF('演算'!G782="OVER","",IF('演算'!O751="ＯＶＥＲ","※ 担当者の人数が多過ぎます",IF(LEN(C396)&gt;'演算'!$L$40,"←文字数が多過ぎます","")))</f>
      </c>
      <c r="H396" s="71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86"/>
      <c r="AF396" s="3"/>
    </row>
    <row r="397" spans="1:31" s="2" customFormat="1" ht="13.5">
      <c r="A397" s="81"/>
      <c r="B397" s="67"/>
      <c r="C397" s="80"/>
      <c r="D397" s="80"/>
      <c r="E397" s="80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81"/>
    </row>
    <row r="398" spans="1:31" s="2" customFormat="1" ht="13.5">
      <c r="A398" s="81"/>
      <c r="B398" s="67"/>
      <c r="C398" s="80" t="s">
        <v>202</v>
      </c>
      <c r="D398" s="80"/>
      <c r="E398" s="80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71" t="str">
        <f>IF('演算'!G782="OVER","",IF(W388=0,"※　⑤は記入できません","　"))</f>
        <v>　</v>
      </c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81"/>
    </row>
    <row r="399" spans="1:31" s="2" customFormat="1" ht="13.5">
      <c r="A399" s="81"/>
      <c r="B399" s="67"/>
      <c r="C399" s="1159"/>
      <c r="D399" s="1160"/>
      <c r="E399" s="1160"/>
      <c r="F399" s="1161"/>
      <c r="G399" s="70">
        <f>IF('演算'!G782="OVER","",IF((W388+2)/'演算'!$L$32=1,"※ 頻度はひとつしか記入できません",IF(LEN(C399)&gt;'演算'!$L$49,"←文字数が多過ぎます","")))</f>
      </c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71" t="str">
        <f>IF('演算'!O800="YES","※ 頻度の記入数が多過ぎます","　")</f>
        <v>　</v>
      </c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81"/>
    </row>
    <row r="400" spans="1:31" s="2" customFormat="1" ht="13.5">
      <c r="A400" s="81"/>
      <c r="B400" s="67"/>
      <c r="C400" s="1159"/>
      <c r="D400" s="1160"/>
      <c r="E400" s="1160"/>
      <c r="F400" s="1161"/>
      <c r="G400" s="70">
        <f>IF('演算'!G782="OVER","",IF('演算'!O762="ＯＶＥＲ","※ 頻度の記入数が多過ぎます",IF(LEN(C400)&gt;'演算'!$L$49,"←文字数が多過ぎます","")))</f>
      </c>
      <c r="H400" s="71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81"/>
    </row>
    <row r="401" spans="1:31" s="177" customFormat="1" ht="13.5">
      <c r="A401" s="153"/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3"/>
    </row>
    <row r="402" spans="1:31" s="177" customFormat="1" ht="13.5">
      <c r="A402" s="153"/>
      <c r="B402" s="154"/>
      <c r="C402" s="154" t="s">
        <v>203</v>
      </c>
      <c r="D402" s="154"/>
      <c r="E402" s="154"/>
      <c r="F402" s="154"/>
      <c r="G402" s="154"/>
      <c r="H402" s="154"/>
      <c r="I402" s="154"/>
      <c r="J402" s="154"/>
      <c r="K402" s="154"/>
      <c r="L402" s="178" t="str">
        <f>IF('演算'!G782="OVER","",IF(W388=0,"※　⑤は記入できません","　"))</f>
        <v>　</v>
      </c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3"/>
    </row>
    <row r="403" spans="1:31" s="177" customFormat="1" ht="13.5">
      <c r="A403" s="153"/>
      <c r="B403" s="154"/>
      <c r="C403" s="174" t="s">
        <v>415</v>
      </c>
      <c r="D403" s="1157"/>
      <c r="E403" s="1158"/>
      <c r="F403" s="175" t="s">
        <v>406</v>
      </c>
      <c r="G403" s="1157"/>
      <c r="H403" s="1158"/>
      <c r="I403" s="176" t="s">
        <v>409</v>
      </c>
      <c r="J403" s="1148" t="s">
        <v>497</v>
      </c>
      <c r="K403" s="1148"/>
      <c r="L403" s="1148" t="s">
        <v>416</v>
      </c>
      <c r="M403" s="1148"/>
      <c r="N403" s="1157"/>
      <c r="O403" s="1158"/>
      <c r="P403" s="154" t="s">
        <v>406</v>
      </c>
      <c r="Q403" s="1157"/>
      <c r="R403" s="1158"/>
      <c r="S403" s="161" t="s">
        <v>409</v>
      </c>
      <c r="T403" s="161"/>
      <c r="U403" s="161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3"/>
    </row>
    <row r="404" spans="1:31" s="177" customFormat="1" ht="13.5">
      <c r="A404" s="153"/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61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3"/>
    </row>
    <row r="405" spans="1:31" s="2" customFormat="1" ht="13.5">
      <c r="A405" s="81"/>
      <c r="B405" s="67"/>
      <c r="C405" s="67" t="s">
        <v>204</v>
      </c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81"/>
    </row>
    <row r="406" spans="1:31" s="2" customFormat="1" ht="13.5">
      <c r="A406" s="81"/>
      <c r="B406" s="67"/>
      <c r="C406" s="55"/>
      <c r="D406" s="67"/>
      <c r="E406" s="70">
        <f>IF('演算'!G782="OVER","",IF(W388=0,"※　⑤は記入できません",IF(LEN(C406)&gt;1,"※ 達成度の文字数が多過ぎます","")))</f>
      </c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81"/>
    </row>
    <row r="407" spans="1:31" s="2" customFormat="1" ht="14.25" customHeight="1">
      <c r="A407" s="81"/>
      <c r="B407" s="67"/>
      <c r="C407" s="67"/>
      <c r="D407" s="67"/>
      <c r="E407" s="70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81"/>
    </row>
    <row r="408" spans="1:31" s="2" customFormat="1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81"/>
    </row>
    <row r="409" spans="1:31" s="2" customFormat="1" ht="13.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00"/>
    </row>
    <row r="410" spans="1:31" s="2" customFormat="1" ht="13.5">
      <c r="A410" s="100"/>
      <c r="B410" s="93"/>
      <c r="C410" s="95">
        <f>IF('演算'!$G$1061="OVER","用紙の記入枠を超えているため、＃４は転記できません","")</f>
      </c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00"/>
    </row>
    <row r="411" spans="1:31" s="2" customFormat="1" ht="13.5">
      <c r="A411" s="100"/>
      <c r="B411" s="93"/>
      <c r="C411" s="93" t="s">
        <v>32</v>
      </c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1147">
        <f>'演算'!G809</f>
        <v>1557</v>
      </c>
      <c r="O411" s="1147"/>
      <c r="P411" s="93" t="s">
        <v>414</v>
      </c>
      <c r="Q411" s="94"/>
      <c r="R411" s="94"/>
      <c r="S411" s="165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00"/>
    </row>
    <row r="412" spans="1:32" s="2" customFormat="1" ht="82.5" customHeight="1">
      <c r="A412" s="100"/>
      <c r="B412" s="93"/>
      <c r="C412" s="1166"/>
      <c r="D412" s="1167"/>
      <c r="E412" s="1167"/>
      <c r="F412" s="1167"/>
      <c r="G412" s="1167"/>
      <c r="H412" s="1167"/>
      <c r="I412" s="1167"/>
      <c r="J412" s="1167"/>
      <c r="K412" s="1167"/>
      <c r="L412" s="1167"/>
      <c r="M412" s="1167"/>
      <c r="N412" s="1167"/>
      <c r="O412" s="1167"/>
      <c r="P412" s="1167"/>
      <c r="Q412" s="1167"/>
      <c r="R412" s="1167"/>
      <c r="S412" s="1167"/>
      <c r="T412" s="1167"/>
      <c r="U412" s="1167"/>
      <c r="V412" s="1167"/>
      <c r="W412" s="1167"/>
      <c r="X412" s="1167"/>
      <c r="Y412" s="1167"/>
      <c r="Z412" s="1167"/>
      <c r="AA412" s="1167"/>
      <c r="AB412" s="1167"/>
      <c r="AC412" s="1168"/>
      <c r="AD412" s="166"/>
      <c r="AE412" s="101"/>
      <c r="AF412" s="5"/>
    </row>
    <row r="413" spans="1:32" s="2" customFormat="1" ht="13.5">
      <c r="A413" s="100"/>
      <c r="B413" s="93"/>
      <c r="C413" s="93" t="s">
        <v>411</v>
      </c>
      <c r="D413" s="93"/>
      <c r="E413" s="93"/>
      <c r="F413" s="93"/>
      <c r="G413" s="1146">
        <f>LEN(C412)</f>
        <v>0</v>
      </c>
      <c r="H413" s="1146"/>
      <c r="I413" s="93" t="s">
        <v>412</v>
      </c>
      <c r="J413" s="93"/>
      <c r="K413" s="93"/>
      <c r="L413" s="93"/>
      <c r="M413" s="95">
        <f>IF('演算'!G1061="OVER","",IF(N411=0,"※　＃４は記入できません",IF(G413&gt;N411,"※　文字数が多過ぎます","")))</f>
      </c>
      <c r="N413" s="93"/>
      <c r="O413" s="93"/>
      <c r="P413" s="93"/>
      <c r="Q413" s="93"/>
      <c r="R413" s="93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7"/>
      <c r="AE413" s="102"/>
      <c r="AF413" s="5"/>
    </row>
    <row r="414" spans="1:32" s="2" customFormat="1" ht="13.5">
      <c r="A414" s="100"/>
      <c r="B414" s="93"/>
      <c r="C414" s="93"/>
      <c r="D414" s="93"/>
      <c r="E414" s="93"/>
      <c r="F414" s="93"/>
      <c r="G414" s="66"/>
      <c r="H414" s="66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7"/>
      <c r="AE414" s="102"/>
      <c r="AF414" s="5"/>
    </row>
    <row r="415" spans="1:32" s="2" customFormat="1" ht="13.5">
      <c r="A415" s="100"/>
      <c r="B415" s="100"/>
      <c r="C415" s="100"/>
      <c r="D415" s="100"/>
      <c r="E415" s="100"/>
      <c r="F415" s="100"/>
      <c r="G415" s="105"/>
      <c r="H415" s="105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8"/>
      <c r="AE415" s="102"/>
      <c r="AF415" s="5"/>
    </row>
    <row r="416" spans="1:32" s="2" customFormat="1" ht="13.5">
      <c r="A416" s="100"/>
      <c r="B416" s="93"/>
      <c r="C416" s="95">
        <f>IF('演算'!$G$1061="OVER","用紙の記入枠を超えているため、＃４は転記できません","")</f>
      </c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7"/>
      <c r="AE416" s="102"/>
      <c r="AF416" s="5"/>
    </row>
    <row r="417" spans="1:32" s="2" customFormat="1" ht="13.5">
      <c r="A417" s="100"/>
      <c r="B417" s="93"/>
      <c r="C417" s="93" t="s">
        <v>33</v>
      </c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164"/>
      <c r="T417" s="164"/>
      <c r="U417" s="1143">
        <f>'演算'!G819</f>
        <v>1300</v>
      </c>
      <c r="V417" s="1143"/>
      <c r="W417" s="1143"/>
      <c r="X417" s="164" t="s">
        <v>413</v>
      </c>
      <c r="Y417" s="164"/>
      <c r="Z417" s="164"/>
      <c r="AA417" s="164"/>
      <c r="AB417" s="164"/>
      <c r="AC417" s="164"/>
      <c r="AD417" s="167"/>
      <c r="AE417" s="102"/>
      <c r="AF417" s="5"/>
    </row>
    <row r="418" spans="1:32" s="2" customFormat="1" ht="95.25" customHeight="1">
      <c r="A418" s="100"/>
      <c r="B418" s="93"/>
      <c r="C418" s="1166"/>
      <c r="D418" s="1167"/>
      <c r="E418" s="1167"/>
      <c r="F418" s="1167"/>
      <c r="G418" s="1167"/>
      <c r="H418" s="1167"/>
      <c r="I418" s="1167"/>
      <c r="J418" s="1167"/>
      <c r="K418" s="1167"/>
      <c r="L418" s="1167"/>
      <c r="M418" s="1167"/>
      <c r="N418" s="1167"/>
      <c r="O418" s="1167"/>
      <c r="P418" s="1167"/>
      <c r="Q418" s="1167"/>
      <c r="R418" s="1167"/>
      <c r="S418" s="1167"/>
      <c r="T418" s="1167"/>
      <c r="U418" s="1167"/>
      <c r="V418" s="1167"/>
      <c r="W418" s="1167"/>
      <c r="X418" s="1167"/>
      <c r="Y418" s="1167"/>
      <c r="Z418" s="1167"/>
      <c r="AA418" s="1167"/>
      <c r="AB418" s="1167"/>
      <c r="AC418" s="1168"/>
      <c r="AD418" s="166"/>
      <c r="AE418" s="101"/>
      <c r="AF418" s="5"/>
    </row>
    <row r="419" spans="1:32" s="2" customFormat="1" ht="13.5">
      <c r="A419" s="100"/>
      <c r="B419" s="93"/>
      <c r="C419" s="93" t="s">
        <v>411</v>
      </c>
      <c r="D419" s="93"/>
      <c r="E419" s="93"/>
      <c r="F419" s="93"/>
      <c r="G419" s="1146">
        <f>LEN(C418)</f>
        <v>0</v>
      </c>
      <c r="H419" s="1146"/>
      <c r="I419" s="93" t="s">
        <v>412</v>
      </c>
      <c r="J419" s="93"/>
      <c r="K419" s="93"/>
      <c r="L419" s="93"/>
      <c r="M419" s="95" t="str">
        <f>IF('演算'!G1061="OVER","",IF(U417=0,"※　＃４は記入できません",IF(G419&gt;U417,"※　文字数が多過ぎます"," ")))</f>
        <v> </v>
      </c>
      <c r="N419" s="93"/>
      <c r="O419" s="93"/>
      <c r="P419" s="93"/>
      <c r="Q419" s="93"/>
      <c r="R419" s="93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7"/>
      <c r="AE419" s="102"/>
      <c r="AF419" s="5"/>
    </row>
    <row r="420" spans="1:32" s="2" customFormat="1" ht="13.5">
      <c r="A420" s="100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164"/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167"/>
      <c r="AE420" s="102"/>
      <c r="AF420" s="5"/>
    </row>
    <row r="421" spans="1:32" s="2" customFormat="1" ht="13.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8"/>
      <c r="AE421" s="102"/>
      <c r="AF421" s="5"/>
    </row>
    <row r="422" spans="1:32" s="2" customFormat="1" ht="13.5">
      <c r="A422" s="100"/>
      <c r="B422" s="93"/>
      <c r="C422" s="95">
        <f>IF('演算'!$G$1061="OVER","用紙の記入枠を超えているため、＃４は転記できません","")</f>
      </c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164"/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167"/>
      <c r="AE422" s="102"/>
      <c r="AF422" s="5"/>
    </row>
    <row r="423" spans="1:32" s="2" customFormat="1" ht="13.5">
      <c r="A423" s="100"/>
      <c r="B423" s="93"/>
      <c r="C423" s="93" t="s">
        <v>34</v>
      </c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164"/>
      <c r="T423" s="164"/>
      <c r="U423" s="1143">
        <f>'演算'!G830</f>
        <v>1300</v>
      </c>
      <c r="V423" s="1143"/>
      <c r="W423" s="1143"/>
      <c r="X423" s="164" t="s">
        <v>413</v>
      </c>
      <c r="Y423" s="164"/>
      <c r="Z423" s="164"/>
      <c r="AA423" s="164"/>
      <c r="AB423" s="164"/>
      <c r="AC423" s="164"/>
      <c r="AD423" s="167"/>
      <c r="AE423" s="102"/>
      <c r="AF423" s="5"/>
    </row>
    <row r="424" spans="1:32" s="2" customFormat="1" ht="69" customHeight="1">
      <c r="A424" s="100"/>
      <c r="B424" s="93"/>
      <c r="C424" s="1166"/>
      <c r="D424" s="1167"/>
      <c r="E424" s="1167"/>
      <c r="F424" s="1167"/>
      <c r="G424" s="1167"/>
      <c r="H424" s="1167"/>
      <c r="I424" s="1167"/>
      <c r="J424" s="1167"/>
      <c r="K424" s="1167"/>
      <c r="L424" s="1167"/>
      <c r="M424" s="1167"/>
      <c r="N424" s="1167"/>
      <c r="O424" s="1167"/>
      <c r="P424" s="1167"/>
      <c r="Q424" s="1167"/>
      <c r="R424" s="1167"/>
      <c r="S424" s="1167"/>
      <c r="T424" s="1167"/>
      <c r="U424" s="1167"/>
      <c r="V424" s="1167"/>
      <c r="W424" s="1167"/>
      <c r="X424" s="1167"/>
      <c r="Y424" s="1167"/>
      <c r="Z424" s="1167"/>
      <c r="AA424" s="1167"/>
      <c r="AB424" s="1167"/>
      <c r="AC424" s="1168"/>
      <c r="AD424" s="169"/>
      <c r="AE424" s="103"/>
      <c r="AF424" s="5"/>
    </row>
    <row r="425" spans="1:32" s="2" customFormat="1" ht="13.5">
      <c r="A425" s="100"/>
      <c r="B425" s="93"/>
      <c r="C425" s="93" t="s">
        <v>425</v>
      </c>
      <c r="D425" s="93"/>
      <c r="E425" s="93"/>
      <c r="F425" s="93"/>
      <c r="G425" s="1144">
        <f>LEN(C424)</f>
        <v>0</v>
      </c>
      <c r="H425" s="1144"/>
      <c r="I425" s="93" t="s">
        <v>412</v>
      </c>
      <c r="J425" s="93"/>
      <c r="K425" s="93"/>
      <c r="L425" s="93"/>
      <c r="M425" s="95" t="str">
        <f>IF('演算'!G1061="OVER","",IF(U423=0,"※　＃４は記入できません",IF(G425&gt;U423,"※　文字数が多過ぎます"," ")))</f>
        <v> </v>
      </c>
      <c r="N425" s="93"/>
      <c r="O425" s="93"/>
      <c r="P425" s="93"/>
      <c r="Q425" s="93"/>
      <c r="R425" s="93"/>
      <c r="S425" s="164"/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167"/>
      <c r="AE425" s="102"/>
      <c r="AF425" s="5"/>
    </row>
    <row r="426" spans="1:32" s="2" customFormat="1" ht="13.5">
      <c r="A426" s="100"/>
      <c r="B426" s="93"/>
      <c r="C426" s="93"/>
      <c r="D426" s="93"/>
      <c r="E426" s="93"/>
      <c r="F426" s="93"/>
      <c r="G426" s="97"/>
      <c r="H426" s="97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164"/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67"/>
      <c r="AE426" s="102"/>
      <c r="AF426" s="5"/>
    </row>
    <row r="427" spans="1:32" s="2" customFormat="1" ht="13.5">
      <c r="A427" s="100"/>
      <c r="B427" s="100"/>
      <c r="C427" s="100"/>
      <c r="D427" s="100"/>
      <c r="E427" s="100"/>
      <c r="F427" s="100"/>
      <c r="G427" s="106"/>
      <c r="H427" s="106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8"/>
      <c r="AE427" s="102"/>
      <c r="AF427" s="5"/>
    </row>
    <row r="428" spans="1:32" s="2" customFormat="1" ht="13.5">
      <c r="A428" s="100"/>
      <c r="B428" s="93"/>
      <c r="C428" s="95">
        <f>IF('演算'!$G$1061="OVER","用紙の記入枠を超えているため、＃４は転記できません","")</f>
      </c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164"/>
      <c r="T428" s="164"/>
      <c r="U428" s="164"/>
      <c r="V428" s="164"/>
      <c r="W428" s="164"/>
      <c r="X428" s="164"/>
      <c r="Y428" s="164"/>
      <c r="Z428" s="164"/>
      <c r="AA428" s="164"/>
      <c r="AB428" s="164"/>
      <c r="AC428" s="164"/>
      <c r="AD428" s="167"/>
      <c r="AE428" s="102"/>
      <c r="AF428" s="5"/>
    </row>
    <row r="429" spans="1:32" s="2" customFormat="1" ht="17.25">
      <c r="A429" s="100"/>
      <c r="B429" s="93"/>
      <c r="C429" s="93" t="s">
        <v>246</v>
      </c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164"/>
      <c r="T429" s="164"/>
      <c r="U429" s="164"/>
      <c r="V429" s="164"/>
      <c r="W429" s="1143">
        <f>'演算'!G843</f>
        <v>2468</v>
      </c>
      <c r="X429" s="1143"/>
      <c r="Y429" s="1143"/>
      <c r="Z429" s="164" t="s">
        <v>414</v>
      </c>
      <c r="AA429" s="164"/>
      <c r="AB429" s="164"/>
      <c r="AC429" s="164"/>
      <c r="AD429" s="167"/>
      <c r="AE429" s="102"/>
      <c r="AF429" s="5"/>
    </row>
    <row r="430" spans="1:32" s="2" customFormat="1" ht="135.75" customHeight="1">
      <c r="A430" s="100"/>
      <c r="B430" s="93"/>
      <c r="C430" s="1166"/>
      <c r="D430" s="1167"/>
      <c r="E430" s="1167"/>
      <c r="F430" s="1167"/>
      <c r="G430" s="1167"/>
      <c r="H430" s="1167"/>
      <c r="I430" s="1167"/>
      <c r="J430" s="1167"/>
      <c r="K430" s="1167"/>
      <c r="L430" s="1167"/>
      <c r="M430" s="1167"/>
      <c r="N430" s="1167"/>
      <c r="O430" s="1167"/>
      <c r="P430" s="1167"/>
      <c r="Q430" s="1167"/>
      <c r="R430" s="1167"/>
      <c r="S430" s="1167"/>
      <c r="T430" s="1167"/>
      <c r="U430" s="1167"/>
      <c r="V430" s="1167"/>
      <c r="W430" s="1167"/>
      <c r="X430" s="1167"/>
      <c r="Y430" s="1167"/>
      <c r="Z430" s="1167"/>
      <c r="AA430" s="1167"/>
      <c r="AB430" s="1167"/>
      <c r="AC430" s="1168"/>
      <c r="AD430" s="166"/>
      <c r="AE430" s="101"/>
      <c r="AF430" s="4"/>
    </row>
    <row r="431" spans="1:31" s="2" customFormat="1" ht="13.5">
      <c r="A431" s="100"/>
      <c r="B431" s="93"/>
      <c r="C431" s="93" t="s">
        <v>424</v>
      </c>
      <c r="D431" s="93"/>
      <c r="E431" s="93"/>
      <c r="F431" s="93"/>
      <c r="G431" s="1144">
        <f>LEN(C430)</f>
        <v>0</v>
      </c>
      <c r="H431" s="1144"/>
      <c r="I431" s="93" t="s">
        <v>412</v>
      </c>
      <c r="J431" s="93"/>
      <c r="K431" s="93"/>
      <c r="L431" s="93"/>
      <c r="M431" s="95" t="str">
        <f>IF('演算'!G1061="OVER","",IF(W429=0,"＃４は記入できません",IF(G431&gt;W429,"※　文字数が多過ぎて転記できません"," ")))</f>
        <v> </v>
      </c>
      <c r="N431" s="93"/>
      <c r="O431" s="93"/>
      <c r="P431" s="93"/>
      <c r="Q431" s="93"/>
      <c r="R431" s="93"/>
      <c r="S431" s="164"/>
      <c r="T431" s="164"/>
      <c r="U431" s="164"/>
      <c r="V431" s="164"/>
      <c r="W431" s="164"/>
      <c r="X431" s="164"/>
      <c r="Y431" s="164"/>
      <c r="Z431" s="164"/>
      <c r="AA431" s="164"/>
      <c r="AB431" s="164"/>
      <c r="AC431" s="164"/>
      <c r="AD431" s="164"/>
      <c r="AE431" s="100"/>
    </row>
    <row r="432" spans="1:31" s="2" customFormat="1" ht="13.5">
      <c r="A432" s="100"/>
      <c r="B432" s="93"/>
      <c r="C432" s="93"/>
      <c r="D432" s="93"/>
      <c r="E432" s="93"/>
      <c r="F432" s="93"/>
      <c r="G432" s="97"/>
      <c r="H432" s="97"/>
      <c r="I432" s="93"/>
      <c r="J432" s="93"/>
      <c r="K432" s="93"/>
      <c r="L432" s="93"/>
      <c r="M432" s="95"/>
      <c r="N432" s="93"/>
      <c r="O432" s="93"/>
      <c r="P432" s="93"/>
      <c r="Q432" s="93"/>
      <c r="R432" s="93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00"/>
    </row>
    <row r="433" spans="1:31" s="2" customFormat="1" ht="13.5">
      <c r="A433" s="100"/>
      <c r="B433" s="93"/>
      <c r="C433" s="93" t="s">
        <v>88</v>
      </c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8" t="str">
        <f>IF('演算'!G1061="OVER","",IF($W$429=0,"＃４は記入できません","　"))</f>
        <v>　</v>
      </c>
      <c r="S433" s="164"/>
      <c r="T433" s="164"/>
      <c r="U433" s="164"/>
      <c r="V433" s="164"/>
      <c r="W433" s="164"/>
      <c r="X433" s="164"/>
      <c r="Y433" s="164"/>
      <c r="Z433" s="164"/>
      <c r="AA433" s="164"/>
      <c r="AB433" s="164"/>
      <c r="AC433" s="164"/>
      <c r="AD433" s="164"/>
      <c r="AE433" s="100"/>
    </row>
    <row r="434" spans="1:32" s="2" customFormat="1" ht="13.5">
      <c r="A434" s="100"/>
      <c r="B434" s="93"/>
      <c r="C434" s="1162"/>
      <c r="D434" s="1163"/>
      <c r="E434" s="1163"/>
      <c r="F434" s="1164"/>
      <c r="G434" s="98">
        <f>IF('演算'!G1061="OVER","",IF((W429+2)/'演算'!$L$32=1,"※ 担当者は１名しか記入できません",IF(LEN(C434)&gt;'演算'!$L$40,"←文字数が多過ぎます","")))</f>
      </c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70"/>
      <c r="AE434" s="104"/>
      <c r="AF434" s="3"/>
    </row>
    <row r="435" spans="1:32" s="2" customFormat="1" ht="13.5">
      <c r="A435" s="100"/>
      <c r="B435" s="93"/>
      <c r="C435" s="1162"/>
      <c r="D435" s="1163"/>
      <c r="E435" s="1163"/>
      <c r="F435" s="1164"/>
      <c r="G435" s="98">
        <f>IF('演算'!G1061="OVER","",IF((W429+2)/'演算'!$L$32=2,"※ 担当者は2名しか記入できません",IF(LEN(C435)&gt;'演算'!$L$40,"←文字数が多過ぎます","")))</f>
      </c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04"/>
      <c r="AF435" s="3"/>
    </row>
    <row r="436" spans="1:32" s="2" customFormat="1" ht="13.5">
      <c r="A436" s="100"/>
      <c r="B436" s="93"/>
      <c r="C436" s="1162"/>
      <c r="D436" s="1163"/>
      <c r="E436" s="1163"/>
      <c r="F436" s="1164"/>
      <c r="G436" s="98">
        <f>IF('演算'!G1061="OVER","",IF((W429+2)/'演算'!$L$32=3,"※ 担当者は3名しか記入できません",IF(LEN(C436)&gt;'演算'!$L$40,"←文字数が多過ぎます","")))</f>
      </c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04"/>
      <c r="AF436" s="3"/>
    </row>
    <row r="437" spans="1:32" s="2" customFormat="1" ht="13.5">
      <c r="A437" s="100"/>
      <c r="B437" s="93"/>
      <c r="C437" s="1162"/>
      <c r="D437" s="1163"/>
      <c r="E437" s="1163"/>
      <c r="F437" s="1164"/>
      <c r="G437" s="98">
        <f>IF('演算'!G1061="OVER","",IF('演算'!O854="OVER","※ 担当者の人数が多過ぎます",IF(LEN(C437)&gt;'演算'!$L$40,"←文字数が多過ぎます","")))</f>
      </c>
      <c r="H437" s="98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170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04"/>
      <c r="AF437" s="3"/>
    </row>
    <row r="438" spans="1:31" s="2" customFormat="1" ht="13.5">
      <c r="A438" s="100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00"/>
    </row>
    <row r="439" spans="1:31" s="2" customFormat="1" ht="13.5">
      <c r="A439" s="100"/>
      <c r="B439" s="93"/>
      <c r="C439" s="93" t="s">
        <v>89</v>
      </c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5" t="str">
        <f>IF('演算'!G1061="OVER","",IF($W$429=0,"＃４は記入できません","　"))</f>
        <v>　</v>
      </c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00"/>
    </row>
    <row r="440" spans="1:31" s="2" customFormat="1" ht="13.5">
      <c r="A440" s="100"/>
      <c r="B440" s="93"/>
      <c r="C440" s="1159"/>
      <c r="D440" s="1160"/>
      <c r="E440" s="1160"/>
      <c r="F440" s="1161"/>
      <c r="G440" s="95">
        <f>IF('演算'!G1061="OVER","",IF((W429+2)/'演算'!$L$32=1,"※ 頻度はひとつしか記入できません",IF(LEN(C440)&gt;'演算'!$L$49,"←文字数が多過ぎます","")))</f>
      </c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00"/>
    </row>
    <row r="441" spans="1:31" s="2" customFormat="1" ht="13.5">
      <c r="A441" s="100"/>
      <c r="B441" s="93"/>
      <c r="C441" s="1159"/>
      <c r="D441" s="1160"/>
      <c r="E441" s="1160"/>
      <c r="F441" s="1161"/>
      <c r="G441" s="95">
        <f>IF('演算'!G1061="OVER","",IF('演算'!O865="OVER","※ 頻度の記入数が多過ぎます",IF(LEN(C441)&gt;'演算'!$L$49,"←文字数が多過ぎます","")))</f>
      </c>
      <c r="H441" s="98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00"/>
    </row>
    <row r="442" spans="1:31" s="2" customFormat="1" ht="13.5">
      <c r="A442" s="100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00"/>
    </row>
    <row r="443" spans="1:31" s="2" customFormat="1" ht="13.5">
      <c r="A443" s="100"/>
      <c r="B443" s="93"/>
      <c r="C443" s="93" t="s">
        <v>35</v>
      </c>
      <c r="D443" s="93"/>
      <c r="E443" s="93"/>
      <c r="F443" s="93"/>
      <c r="G443" s="93"/>
      <c r="H443" s="93"/>
      <c r="I443" s="93"/>
      <c r="J443" s="93"/>
      <c r="K443" s="93"/>
      <c r="L443" s="95" t="str">
        <f>IF('演算'!G1061="OVER","",IF(W429=0,"＃４は記入できません","　"))</f>
        <v>　</v>
      </c>
      <c r="M443" s="93"/>
      <c r="N443" s="93"/>
      <c r="O443" s="93"/>
      <c r="P443" s="93"/>
      <c r="Q443" s="93"/>
      <c r="R443" s="93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00"/>
    </row>
    <row r="444" spans="1:31" s="63" customFormat="1" ht="13.5">
      <c r="A444" s="110"/>
      <c r="B444" s="111"/>
      <c r="C444" s="112" t="s">
        <v>415</v>
      </c>
      <c r="D444" s="1170"/>
      <c r="E444" s="1171"/>
      <c r="F444" s="113" t="s">
        <v>406</v>
      </c>
      <c r="G444" s="1170"/>
      <c r="H444" s="1171"/>
      <c r="I444" s="114" t="s">
        <v>409</v>
      </c>
      <c r="J444" s="1142" t="s">
        <v>497</v>
      </c>
      <c r="K444" s="1142"/>
      <c r="L444" s="1142" t="s">
        <v>416</v>
      </c>
      <c r="M444" s="1142"/>
      <c r="N444" s="1170"/>
      <c r="O444" s="1171"/>
      <c r="P444" s="111" t="s">
        <v>406</v>
      </c>
      <c r="Q444" s="1170"/>
      <c r="R444" s="1171"/>
      <c r="S444" s="171" t="s">
        <v>409</v>
      </c>
      <c r="T444" s="171"/>
      <c r="U444" s="171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10"/>
    </row>
    <row r="445" spans="1:31" s="2" customFormat="1" ht="13.5">
      <c r="A445" s="100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00"/>
    </row>
    <row r="446" spans="1:31" s="2" customFormat="1" ht="13.5">
      <c r="A446" s="100"/>
      <c r="B446" s="93"/>
      <c r="C446" s="93" t="s">
        <v>55</v>
      </c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00"/>
    </row>
    <row r="447" spans="1:31" s="2" customFormat="1" ht="13.5">
      <c r="A447" s="100"/>
      <c r="B447" s="93"/>
      <c r="C447" s="55"/>
      <c r="D447" s="93"/>
      <c r="E447" s="95">
        <f>IF('演算'!G1061="OVER","",IF(W429=0,"＃４は記入できません",IF(LEN(C447)&gt;1,"※ 達成度の文字数が多過ぎます","")))</f>
      </c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164"/>
      <c r="T447" s="164"/>
      <c r="U447" s="164"/>
      <c r="V447" s="164"/>
      <c r="W447" s="164"/>
      <c r="X447" s="164"/>
      <c r="Y447" s="164"/>
      <c r="Z447" s="164"/>
      <c r="AA447" s="164"/>
      <c r="AB447" s="164"/>
      <c r="AC447" s="164"/>
      <c r="AD447" s="164"/>
      <c r="AE447" s="100"/>
    </row>
    <row r="448" spans="1:31" s="2" customFormat="1" ht="13.5">
      <c r="A448" s="100"/>
      <c r="B448" s="93"/>
      <c r="C448" s="93"/>
      <c r="D448" s="93"/>
      <c r="E448" s="95"/>
      <c r="F448" s="93"/>
      <c r="G448" s="97"/>
      <c r="H448" s="97"/>
      <c r="I448" s="93"/>
      <c r="J448" s="93"/>
      <c r="K448" s="93"/>
      <c r="L448" s="93"/>
      <c r="M448" s="95"/>
      <c r="N448" s="93"/>
      <c r="O448" s="93"/>
      <c r="P448" s="93"/>
      <c r="Q448" s="93"/>
      <c r="R448" s="93"/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00"/>
    </row>
    <row r="449" spans="1:31" s="2" customFormat="1" ht="13.5">
      <c r="A449" s="100"/>
      <c r="B449" s="107"/>
      <c r="C449" s="107"/>
      <c r="D449" s="107"/>
      <c r="E449" s="107"/>
      <c r="F449" s="107"/>
      <c r="G449" s="108"/>
      <c r="H449" s="108"/>
      <c r="I449" s="107"/>
      <c r="J449" s="107"/>
      <c r="K449" s="107"/>
      <c r="L449" s="107"/>
      <c r="M449" s="109"/>
      <c r="N449" s="107"/>
      <c r="O449" s="107"/>
      <c r="P449" s="107"/>
      <c r="Q449" s="107"/>
      <c r="R449" s="107"/>
      <c r="S449" s="172"/>
      <c r="T449" s="172"/>
      <c r="U449" s="172"/>
      <c r="V449" s="172"/>
      <c r="W449" s="172"/>
      <c r="X449" s="172"/>
      <c r="Y449" s="172"/>
      <c r="Z449" s="172"/>
      <c r="AA449" s="172"/>
      <c r="AB449" s="172"/>
      <c r="AC449" s="172"/>
      <c r="AD449" s="172"/>
      <c r="AE449" s="100"/>
    </row>
    <row r="450" spans="1:31" s="2" customFormat="1" ht="13.5">
      <c r="A450" s="100"/>
      <c r="B450" s="93"/>
      <c r="C450" s="95">
        <f>IF('演算'!$G$1061="OVER","用紙の記入枠を超えているため、＃４は転記できません","")</f>
      </c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164"/>
      <c r="T450" s="164"/>
      <c r="U450" s="164"/>
      <c r="V450" s="164"/>
      <c r="W450" s="164"/>
      <c r="X450" s="164"/>
      <c r="Y450" s="164"/>
      <c r="Z450" s="164"/>
      <c r="AA450" s="164"/>
      <c r="AB450" s="164"/>
      <c r="AC450" s="164"/>
      <c r="AD450" s="164"/>
      <c r="AE450" s="100"/>
    </row>
    <row r="451" spans="1:32" s="2" customFormat="1" ht="17.25">
      <c r="A451" s="100"/>
      <c r="B451" s="93"/>
      <c r="C451" s="93" t="s">
        <v>265</v>
      </c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164"/>
      <c r="T451" s="164"/>
      <c r="U451" s="164"/>
      <c r="V451" s="164"/>
      <c r="W451" s="1143">
        <f>'演算'!G887</f>
        <v>2468</v>
      </c>
      <c r="X451" s="1143"/>
      <c r="Y451" s="1143"/>
      <c r="Z451" s="164" t="s">
        <v>414</v>
      </c>
      <c r="AA451" s="164"/>
      <c r="AB451" s="164"/>
      <c r="AC451" s="164"/>
      <c r="AD451" s="167"/>
      <c r="AE451" s="102"/>
      <c r="AF451" s="5"/>
    </row>
    <row r="452" spans="1:32" s="2" customFormat="1" ht="94.5" customHeight="1">
      <c r="A452" s="100"/>
      <c r="B452" s="93"/>
      <c r="C452" s="1166"/>
      <c r="D452" s="1167"/>
      <c r="E452" s="1167"/>
      <c r="F452" s="1167"/>
      <c r="G452" s="1167"/>
      <c r="H452" s="1167"/>
      <c r="I452" s="1167"/>
      <c r="J452" s="1167"/>
      <c r="K452" s="1167"/>
      <c r="L452" s="1167"/>
      <c r="M452" s="1167"/>
      <c r="N452" s="1167"/>
      <c r="O452" s="1167"/>
      <c r="P452" s="1167"/>
      <c r="Q452" s="1167"/>
      <c r="R452" s="1167"/>
      <c r="S452" s="1167"/>
      <c r="T452" s="1167"/>
      <c r="U452" s="1167"/>
      <c r="V452" s="1167"/>
      <c r="W452" s="1167"/>
      <c r="X452" s="1167"/>
      <c r="Y452" s="1167"/>
      <c r="Z452" s="1167"/>
      <c r="AA452" s="1167"/>
      <c r="AB452" s="1167"/>
      <c r="AC452" s="1168"/>
      <c r="AD452" s="166"/>
      <c r="AE452" s="101"/>
      <c r="AF452" s="4"/>
    </row>
    <row r="453" spans="1:31" s="2" customFormat="1" ht="13.5">
      <c r="A453" s="100"/>
      <c r="B453" s="93"/>
      <c r="C453" s="93" t="s">
        <v>424</v>
      </c>
      <c r="D453" s="93"/>
      <c r="E453" s="93"/>
      <c r="F453" s="93"/>
      <c r="G453" s="1144">
        <f>LEN(C452)</f>
        <v>0</v>
      </c>
      <c r="H453" s="1144"/>
      <c r="I453" s="93" t="s">
        <v>412</v>
      </c>
      <c r="J453" s="93"/>
      <c r="K453" s="93"/>
      <c r="L453" s="93"/>
      <c r="M453" s="95" t="str">
        <f>IF('演算'!G1061="OVER","",IF(W451=0,"※ ②は記入できません",IF(G453&gt;W451,"※　文字数が多過ぎて転記できません"," ")))</f>
        <v> </v>
      </c>
      <c r="N453" s="93"/>
      <c r="O453" s="93"/>
      <c r="P453" s="93"/>
      <c r="Q453" s="93"/>
      <c r="R453" s="93"/>
      <c r="S453" s="164"/>
      <c r="T453" s="164"/>
      <c r="U453" s="164"/>
      <c r="V453" s="164"/>
      <c r="W453" s="164"/>
      <c r="X453" s="164"/>
      <c r="Y453" s="164"/>
      <c r="Z453" s="164"/>
      <c r="AA453" s="164"/>
      <c r="AB453" s="164"/>
      <c r="AC453" s="164"/>
      <c r="AD453" s="164"/>
      <c r="AE453" s="100"/>
    </row>
    <row r="454" spans="1:31" s="2" customFormat="1" ht="13.5">
      <c r="A454" s="100"/>
      <c r="B454" s="93"/>
      <c r="C454" s="93"/>
      <c r="D454" s="93"/>
      <c r="E454" s="93"/>
      <c r="F454" s="93"/>
      <c r="G454" s="97"/>
      <c r="H454" s="97"/>
      <c r="I454" s="93"/>
      <c r="J454" s="93"/>
      <c r="K454" s="93"/>
      <c r="L454" s="93"/>
      <c r="M454" s="95"/>
      <c r="N454" s="93"/>
      <c r="O454" s="93"/>
      <c r="P454" s="93"/>
      <c r="Q454" s="93"/>
      <c r="R454" s="93"/>
      <c r="S454" s="164"/>
      <c r="T454" s="164"/>
      <c r="U454" s="164"/>
      <c r="V454" s="164"/>
      <c r="W454" s="164"/>
      <c r="X454" s="164"/>
      <c r="Y454" s="164"/>
      <c r="Z454" s="164"/>
      <c r="AA454" s="164"/>
      <c r="AB454" s="164"/>
      <c r="AC454" s="164"/>
      <c r="AD454" s="164"/>
      <c r="AE454" s="100"/>
    </row>
    <row r="455" spans="1:31" s="2" customFormat="1" ht="13.5">
      <c r="A455" s="100"/>
      <c r="B455" s="93"/>
      <c r="C455" s="93" t="s">
        <v>90</v>
      </c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5" t="str">
        <f>IF('演算'!G1061="OVER","",IF(W451=0,"※　②は記入できません","　"))</f>
        <v>　</v>
      </c>
      <c r="S455" s="164"/>
      <c r="T455" s="164"/>
      <c r="U455" s="164"/>
      <c r="V455" s="164"/>
      <c r="W455" s="164"/>
      <c r="X455" s="164"/>
      <c r="Y455" s="164"/>
      <c r="Z455" s="164"/>
      <c r="AA455" s="164"/>
      <c r="AB455" s="164"/>
      <c r="AC455" s="164"/>
      <c r="AD455" s="164"/>
      <c r="AE455" s="100"/>
    </row>
    <row r="456" spans="1:32" s="2" customFormat="1" ht="13.5">
      <c r="A456" s="100"/>
      <c r="B456" s="93"/>
      <c r="C456" s="1162"/>
      <c r="D456" s="1163"/>
      <c r="E456" s="1163"/>
      <c r="F456" s="1164"/>
      <c r="G456" s="98">
        <f>IF('演算'!G1061="OVER","",IF((W451+2)/'演算'!$L$32=1,"※ 担当者は１名しか記入できません",IF(LEN(C456)&gt;'演算'!$L$40,"←文字数が多過ぎます","")))</f>
      </c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169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70"/>
      <c r="AE456" s="104"/>
      <c r="AF456" s="3"/>
    </row>
    <row r="457" spans="1:32" s="2" customFormat="1" ht="13.5">
      <c r="A457" s="100"/>
      <c r="B457" s="93"/>
      <c r="C457" s="1162"/>
      <c r="D457" s="1163"/>
      <c r="E457" s="1163"/>
      <c r="F457" s="1164"/>
      <c r="G457" s="98">
        <f>IF('演算'!G1061="OVER","",IF((W451+2)/'演算'!$L$32=2,"※ 担当者は2名しか記入できません",IF(LEN(C457)&gt;'演算'!$L$40,"←文字数が多過ぎます","")))</f>
      </c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170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04"/>
      <c r="AF457" s="3"/>
    </row>
    <row r="458" spans="1:32" s="2" customFormat="1" ht="13.5">
      <c r="A458" s="100"/>
      <c r="B458" s="93"/>
      <c r="C458" s="1162"/>
      <c r="D458" s="1163"/>
      <c r="E458" s="1163"/>
      <c r="F458" s="1164"/>
      <c r="G458" s="98">
        <f>IF('演算'!G1061="OVER","",IF((W451+2)/'演算'!$L$32=3,"※ 担当者は3名しか記入できません",IF(LEN(C458)&gt;'演算'!$L$40,"←文字数が多過ぎます","")))</f>
      </c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170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04"/>
      <c r="AF458" s="3"/>
    </row>
    <row r="459" spans="1:32" s="2" customFormat="1" ht="13.5">
      <c r="A459" s="100"/>
      <c r="B459" s="93"/>
      <c r="C459" s="1162"/>
      <c r="D459" s="1163"/>
      <c r="E459" s="1163"/>
      <c r="F459" s="1164"/>
      <c r="G459" s="98">
        <f>IF('演算'!G1061="OVER","",IF('演算'!O898="OVER","※ 担当者の人数が多過ぎます",IF(LEN(C459)&gt;'演算'!$L$40,"←文字数が多過ぎます","")))</f>
      </c>
      <c r="H459" s="98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04"/>
      <c r="AF459" s="3"/>
    </row>
    <row r="460" spans="1:31" s="2" customFormat="1" ht="13.5">
      <c r="A460" s="100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00"/>
    </row>
    <row r="461" spans="1:31" s="2" customFormat="1" ht="13.5">
      <c r="A461" s="100"/>
      <c r="B461" s="93"/>
      <c r="C461" s="93" t="s">
        <v>91</v>
      </c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5" t="str">
        <f>IF('演算'!G1061="OVER","",IF(W451=0,"※　②は記入できません","　"))</f>
        <v>　</v>
      </c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00"/>
    </row>
    <row r="462" spans="1:31" s="2" customFormat="1" ht="13.5">
      <c r="A462" s="100"/>
      <c r="B462" s="93"/>
      <c r="C462" s="1159"/>
      <c r="D462" s="1160"/>
      <c r="E462" s="1160"/>
      <c r="F462" s="1161"/>
      <c r="G462" s="95">
        <f>IF('演算'!G1061="OVER","",IF((W451+2)/'演算'!$L$32=1,"※ 頻度はひとつしか記入できません",IF(LEN(C462)&gt;'演算'!$L$49,"←文字数が多過ぎます","")))</f>
      </c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00"/>
    </row>
    <row r="463" spans="1:31" s="2" customFormat="1" ht="13.5">
      <c r="A463" s="100"/>
      <c r="B463" s="93"/>
      <c r="C463" s="1159"/>
      <c r="D463" s="1160"/>
      <c r="E463" s="1160"/>
      <c r="F463" s="1161"/>
      <c r="G463" s="95">
        <f>IF('演算'!G1061="OVER","",IF('演算'!O909="OVER","※ 頻度の記入数が多過ぎます",IF(LEN(C463)&gt;'演算'!$L$49,"←文字数が多過ぎます","")))</f>
      </c>
      <c r="H463" s="98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00"/>
    </row>
    <row r="464" spans="1:31" s="2" customFormat="1" ht="13.5">
      <c r="A464" s="100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00"/>
    </row>
    <row r="465" spans="1:31" s="2" customFormat="1" ht="13.5">
      <c r="A465" s="100"/>
      <c r="B465" s="93"/>
      <c r="C465" s="93" t="s">
        <v>56</v>
      </c>
      <c r="D465" s="93"/>
      <c r="E465" s="93"/>
      <c r="F465" s="93"/>
      <c r="G465" s="93"/>
      <c r="H465" s="93"/>
      <c r="I465" s="93"/>
      <c r="J465" s="93"/>
      <c r="K465" s="93"/>
      <c r="L465" s="95" t="str">
        <f>IF('演算'!G1061="OVER","",IF(W451=0,"※ ②は記入できません","　"))</f>
        <v>　</v>
      </c>
      <c r="M465" s="93"/>
      <c r="N465" s="93"/>
      <c r="O465" s="93"/>
      <c r="P465" s="93"/>
      <c r="Q465" s="93"/>
      <c r="R465" s="93"/>
      <c r="S465" s="164"/>
      <c r="T465" s="164"/>
      <c r="U465" s="164"/>
      <c r="V465" s="164"/>
      <c r="W465" s="164"/>
      <c r="X465" s="164"/>
      <c r="Y465" s="164"/>
      <c r="Z465" s="164"/>
      <c r="AA465" s="164"/>
      <c r="AB465" s="164"/>
      <c r="AC465" s="164"/>
      <c r="AD465" s="164"/>
      <c r="AE465" s="100"/>
    </row>
    <row r="466" spans="1:31" s="63" customFormat="1" ht="13.5">
      <c r="A466" s="110"/>
      <c r="B466" s="111"/>
      <c r="C466" s="112" t="s">
        <v>415</v>
      </c>
      <c r="D466" s="1170"/>
      <c r="E466" s="1171"/>
      <c r="F466" s="113" t="s">
        <v>406</v>
      </c>
      <c r="G466" s="1170"/>
      <c r="H466" s="1171"/>
      <c r="I466" s="114" t="s">
        <v>409</v>
      </c>
      <c r="J466" s="1142" t="s">
        <v>497</v>
      </c>
      <c r="K466" s="1142"/>
      <c r="L466" s="1142" t="s">
        <v>416</v>
      </c>
      <c r="M466" s="1142"/>
      <c r="N466" s="1170"/>
      <c r="O466" s="1171"/>
      <c r="P466" s="111" t="s">
        <v>406</v>
      </c>
      <c r="Q466" s="1170"/>
      <c r="R466" s="1171"/>
      <c r="S466" s="171" t="s">
        <v>409</v>
      </c>
      <c r="T466" s="171"/>
      <c r="U466" s="171"/>
      <c r="V466" s="164"/>
      <c r="W466" s="164"/>
      <c r="X466" s="164"/>
      <c r="Y466" s="164"/>
      <c r="Z466" s="164"/>
      <c r="AA466" s="164"/>
      <c r="AB466" s="164"/>
      <c r="AC466" s="164"/>
      <c r="AD466" s="164"/>
      <c r="AE466" s="110"/>
    </row>
    <row r="467" spans="1:31" s="2" customFormat="1" ht="13.5">
      <c r="A467" s="100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00"/>
    </row>
    <row r="468" spans="1:31" s="2" customFormat="1" ht="13.5">
      <c r="A468" s="100"/>
      <c r="B468" s="93"/>
      <c r="C468" s="93" t="s">
        <v>57</v>
      </c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00"/>
    </row>
    <row r="469" spans="1:31" s="2" customFormat="1" ht="13.5">
      <c r="A469" s="100"/>
      <c r="B469" s="93"/>
      <c r="C469" s="55"/>
      <c r="D469" s="93"/>
      <c r="E469" s="95">
        <f>IF('演算'!G1061="OVER","",IF(W451=0,"※ ②は記入できません",IF(LEN(C469)&gt;1,"※ 達成度の文字数が多過ぎます","")))</f>
      </c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00"/>
    </row>
    <row r="470" spans="1:31" s="2" customFormat="1" ht="13.5">
      <c r="A470" s="100"/>
      <c r="B470" s="93"/>
      <c r="C470" s="93"/>
      <c r="D470" s="93"/>
      <c r="E470" s="95"/>
      <c r="F470" s="93"/>
      <c r="G470" s="97"/>
      <c r="H470" s="97"/>
      <c r="I470" s="93"/>
      <c r="J470" s="93"/>
      <c r="K470" s="93"/>
      <c r="L470" s="93"/>
      <c r="M470" s="95"/>
      <c r="N470" s="93"/>
      <c r="O470" s="93"/>
      <c r="P470" s="93"/>
      <c r="Q470" s="93"/>
      <c r="R470" s="93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00"/>
    </row>
    <row r="471" spans="1:31" s="2" customFormat="1" ht="13.5">
      <c r="A471" s="100"/>
      <c r="B471" s="107"/>
      <c r="C471" s="107"/>
      <c r="D471" s="107"/>
      <c r="E471" s="107"/>
      <c r="F471" s="107"/>
      <c r="G471" s="108"/>
      <c r="H471" s="108"/>
      <c r="I471" s="107"/>
      <c r="J471" s="107"/>
      <c r="K471" s="107"/>
      <c r="L471" s="107"/>
      <c r="M471" s="109"/>
      <c r="N471" s="107"/>
      <c r="O471" s="107"/>
      <c r="P471" s="107"/>
      <c r="Q471" s="107"/>
      <c r="R471" s="107"/>
      <c r="S471" s="172"/>
      <c r="T471" s="172"/>
      <c r="U471" s="172"/>
      <c r="V471" s="172"/>
      <c r="W471" s="172"/>
      <c r="X471" s="172"/>
      <c r="Y471" s="172"/>
      <c r="Z471" s="172"/>
      <c r="AA471" s="172"/>
      <c r="AB471" s="172"/>
      <c r="AC471" s="172"/>
      <c r="AD471" s="172"/>
      <c r="AE471" s="100"/>
    </row>
    <row r="472" spans="1:31" s="2" customFormat="1" ht="13.5">
      <c r="A472" s="100"/>
      <c r="B472" s="93"/>
      <c r="C472" s="95">
        <f>IF('演算'!$G$1061="OVER","用紙の記入枠を超えているため、＃４は転記できません","")</f>
      </c>
      <c r="D472" s="93"/>
      <c r="E472" s="93"/>
      <c r="F472" s="93"/>
      <c r="G472" s="97"/>
      <c r="H472" s="97"/>
      <c r="I472" s="93"/>
      <c r="J472" s="93"/>
      <c r="K472" s="93"/>
      <c r="L472" s="93"/>
      <c r="M472" s="95"/>
      <c r="N472" s="93"/>
      <c r="O472" s="93"/>
      <c r="P472" s="93"/>
      <c r="Q472" s="93"/>
      <c r="R472" s="93"/>
      <c r="S472" s="164"/>
      <c r="T472" s="164"/>
      <c r="U472" s="164"/>
      <c r="V472" s="164"/>
      <c r="W472" s="164"/>
      <c r="X472" s="164"/>
      <c r="Y472" s="164"/>
      <c r="Z472" s="164"/>
      <c r="AA472" s="164"/>
      <c r="AB472" s="164"/>
      <c r="AC472" s="164"/>
      <c r="AD472" s="164"/>
      <c r="AE472" s="100"/>
    </row>
    <row r="473" spans="1:32" s="2" customFormat="1" ht="17.25">
      <c r="A473" s="100"/>
      <c r="B473" s="93"/>
      <c r="C473" s="93" t="s">
        <v>247</v>
      </c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164"/>
      <c r="T473" s="164"/>
      <c r="U473" s="164"/>
      <c r="V473" s="164"/>
      <c r="W473" s="1143">
        <f>'演算'!G931</f>
        <v>2468</v>
      </c>
      <c r="X473" s="1143"/>
      <c r="Y473" s="1143"/>
      <c r="Z473" s="164" t="s">
        <v>414</v>
      </c>
      <c r="AA473" s="164"/>
      <c r="AB473" s="164"/>
      <c r="AC473" s="164"/>
      <c r="AD473" s="167"/>
      <c r="AE473" s="102"/>
      <c r="AF473" s="5"/>
    </row>
    <row r="474" spans="1:32" s="2" customFormat="1" ht="94.5" customHeight="1">
      <c r="A474" s="100"/>
      <c r="B474" s="93"/>
      <c r="C474" s="1166"/>
      <c r="D474" s="1167"/>
      <c r="E474" s="1167"/>
      <c r="F474" s="1167"/>
      <c r="G474" s="1167"/>
      <c r="H474" s="1167"/>
      <c r="I474" s="1167"/>
      <c r="J474" s="1167"/>
      <c r="K474" s="1167"/>
      <c r="L474" s="1167"/>
      <c r="M474" s="1167"/>
      <c r="N474" s="1167"/>
      <c r="O474" s="1167"/>
      <c r="P474" s="1167"/>
      <c r="Q474" s="1167"/>
      <c r="R474" s="1167"/>
      <c r="S474" s="1167"/>
      <c r="T474" s="1167"/>
      <c r="U474" s="1167"/>
      <c r="V474" s="1167"/>
      <c r="W474" s="1167"/>
      <c r="X474" s="1167"/>
      <c r="Y474" s="1167"/>
      <c r="Z474" s="1167"/>
      <c r="AA474" s="1167"/>
      <c r="AB474" s="1167"/>
      <c r="AC474" s="1168"/>
      <c r="AD474" s="166"/>
      <c r="AE474" s="101"/>
      <c r="AF474" s="4"/>
    </row>
    <row r="475" spans="1:31" s="2" customFormat="1" ht="13.5">
      <c r="A475" s="100"/>
      <c r="B475" s="93"/>
      <c r="C475" s="93" t="s">
        <v>424</v>
      </c>
      <c r="D475" s="93"/>
      <c r="E475" s="93"/>
      <c r="F475" s="93"/>
      <c r="G475" s="1144">
        <f>LEN(C474)</f>
        <v>0</v>
      </c>
      <c r="H475" s="1144"/>
      <c r="I475" s="93" t="s">
        <v>412</v>
      </c>
      <c r="J475" s="93"/>
      <c r="K475" s="93"/>
      <c r="L475" s="93"/>
      <c r="M475" s="95" t="str">
        <f>IF('演算'!G1061="OVER","",IF(W473=0,"※ ③は記入できません",IF(G475&gt;W473,"※　文字数が多過ぎます"," ")))</f>
        <v> </v>
      </c>
      <c r="N475" s="93"/>
      <c r="O475" s="93"/>
      <c r="P475" s="93"/>
      <c r="Q475" s="93"/>
      <c r="R475" s="93"/>
      <c r="S475" s="164"/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00"/>
    </row>
    <row r="476" spans="1:31" s="2" customFormat="1" ht="13.5">
      <c r="A476" s="100"/>
      <c r="B476" s="93"/>
      <c r="C476" s="93"/>
      <c r="D476" s="93"/>
      <c r="E476" s="93"/>
      <c r="F476" s="93"/>
      <c r="G476" s="97"/>
      <c r="H476" s="97"/>
      <c r="I476" s="93"/>
      <c r="J476" s="93"/>
      <c r="K476" s="93"/>
      <c r="L476" s="93"/>
      <c r="M476" s="95"/>
      <c r="N476" s="93"/>
      <c r="O476" s="93"/>
      <c r="P476" s="93"/>
      <c r="Q476" s="93"/>
      <c r="R476" s="93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64"/>
      <c r="AD476" s="164"/>
      <c r="AE476" s="100"/>
    </row>
    <row r="477" spans="1:31" s="2" customFormat="1" ht="13.5">
      <c r="A477" s="100"/>
      <c r="B477" s="93"/>
      <c r="C477" s="93" t="s">
        <v>92</v>
      </c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8" t="str">
        <f>IF('演算'!G1061="OVER","",IF(W473=0,"※ ③は記入できません","　"))</f>
        <v>　</v>
      </c>
      <c r="S477" s="164"/>
      <c r="T477" s="164"/>
      <c r="U477" s="164"/>
      <c r="V477" s="164"/>
      <c r="W477" s="164"/>
      <c r="X477" s="164"/>
      <c r="Y477" s="164"/>
      <c r="Z477" s="164"/>
      <c r="AA477" s="164"/>
      <c r="AB477" s="164"/>
      <c r="AC477" s="164"/>
      <c r="AD477" s="164"/>
      <c r="AE477" s="100"/>
    </row>
    <row r="478" spans="1:32" s="2" customFormat="1" ht="13.5">
      <c r="A478" s="100"/>
      <c r="B478" s="93"/>
      <c r="C478" s="1162"/>
      <c r="D478" s="1163"/>
      <c r="E478" s="1163"/>
      <c r="F478" s="1164"/>
      <c r="G478" s="98">
        <f>IF('演算'!G1061="OVER","",IF((W473+2)/'演算'!$L$32=1,"※ 担当者は１名しか記入できません",IF(LEN(C478)&gt;'演算'!$L$40,"←文字数が多過ぎます","")))</f>
      </c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169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70"/>
      <c r="AE478" s="104"/>
      <c r="AF478" s="3"/>
    </row>
    <row r="479" spans="1:32" s="2" customFormat="1" ht="13.5">
      <c r="A479" s="100"/>
      <c r="B479" s="93"/>
      <c r="C479" s="1162"/>
      <c r="D479" s="1163"/>
      <c r="E479" s="1163"/>
      <c r="F479" s="1164"/>
      <c r="G479" s="98">
        <f>IF('演算'!G1061="OVER","",IF((W473+2)/'演算'!$L$32=2,"※ 担当者は2名しか記入できません",IF(LEN(C479)&gt;'演算'!$L$40,"←文字数が多過ぎます","")))</f>
      </c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170"/>
      <c r="T479" s="170"/>
      <c r="U479" s="170"/>
      <c r="V479" s="170"/>
      <c r="W479" s="170"/>
      <c r="X479" s="170"/>
      <c r="Y479" s="170"/>
      <c r="Z479" s="170"/>
      <c r="AA479" s="170"/>
      <c r="AB479" s="170"/>
      <c r="AC479" s="170"/>
      <c r="AD479" s="170"/>
      <c r="AE479" s="104"/>
      <c r="AF479" s="3"/>
    </row>
    <row r="480" spans="1:32" s="2" customFormat="1" ht="13.5">
      <c r="A480" s="100"/>
      <c r="B480" s="93"/>
      <c r="C480" s="1162"/>
      <c r="D480" s="1163"/>
      <c r="E480" s="1163"/>
      <c r="F480" s="1164"/>
      <c r="G480" s="98">
        <f>IF('演算'!G1061="OVER","",IF((W473+2)/'演算'!$L$32=3,"※ 担当者は3名しか記入できません",IF(LEN(C480)&gt;'演算'!$L$40,"←文字数が多過ぎます","")))</f>
      </c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170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70"/>
      <c r="AD480" s="170"/>
      <c r="AE480" s="104"/>
      <c r="AF480" s="3"/>
    </row>
    <row r="481" spans="1:32" s="2" customFormat="1" ht="13.5">
      <c r="A481" s="100"/>
      <c r="B481" s="93"/>
      <c r="C481" s="1162"/>
      <c r="D481" s="1163"/>
      <c r="E481" s="1163"/>
      <c r="F481" s="1164"/>
      <c r="G481" s="98">
        <f>IF('演算'!G1061="OVER","",IF('演算'!O942="OVER","※ 担当者の人数が多過ぎます",IF(LEN(C481)&gt;'演算'!$L$40,"←文字数が多過ぎます","")))</f>
      </c>
      <c r="H481" s="98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170"/>
      <c r="T481" s="170"/>
      <c r="U481" s="170"/>
      <c r="V481" s="170"/>
      <c r="W481" s="170"/>
      <c r="X481" s="170"/>
      <c r="Y481" s="170"/>
      <c r="Z481" s="170"/>
      <c r="AA481" s="170"/>
      <c r="AB481" s="170"/>
      <c r="AC481" s="170"/>
      <c r="AD481" s="170"/>
      <c r="AE481" s="104"/>
      <c r="AF481" s="3"/>
    </row>
    <row r="482" spans="1:31" s="2" customFormat="1" ht="13.5">
      <c r="A482" s="100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164"/>
      <c r="T482" s="164"/>
      <c r="U482" s="164"/>
      <c r="V482" s="164"/>
      <c r="W482" s="164"/>
      <c r="X482" s="164"/>
      <c r="Y482" s="164"/>
      <c r="Z482" s="164"/>
      <c r="AA482" s="164"/>
      <c r="AB482" s="164"/>
      <c r="AC482" s="164"/>
      <c r="AD482" s="164"/>
      <c r="AE482" s="100"/>
    </row>
    <row r="483" spans="1:31" s="2" customFormat="1" ht="13.5">
      <c r="A483" s="100"/>
      <c r="B483" s="93"/>
      <c r="C483" s="93" t="s">
        <v>93</v>
      </c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5" t="str">
        <f>IF('演算'!G1061="OVER","",IF(W473=0,"※ ③は記入できません","　"))</f>
        <v>　</v>
      </c>
      <c r="S483" s="164"/>
      <c r="T483" s="164"/>
      <c r="U483" s="164"/>
      <c r="V483" s="164"/>
      <c r="W483" s="164"/>
      <c r="X483" s="164"/>
      <c r="Y483" s="164"/>
      <c r="Z483" s="164"/>
      <c r="AA483" s="164"/>
      <c r="AB483" s="164"/>
      <c r="AC483" s="164"/>
      <c r="AD483" s="164"/>
      <c r="AE483" s="100"/>
    </row>
    <row r="484" spans="1:31" s="2" customFormat="1" ht="13.5">
      <c r="A484" s="100"/>
      <c r="B484" s="93"/>
      <c r="C484" s="1159"/>
      <c r="D484" s="1160"/>
      <c r="E484" s="1160"/>
      <c r="F484" s="1161"/>
      <c r="G484" s="95">
        <f>IF('演算'!G1061="OVER","",IF((W473+2)/'演算'!$L$32=1,"※ 頻度はひとつしか記入できません",IF(LEN(C484)&gt;'演算'!$L$49,"←文字数が多過ぎます","")))</f>
      </c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164"/>
      <c r="T484" s="164"/>
      <c r="U484" s="164"/>
      <c r="V484" s="164"/>
      <c r="W484" s="164"/>
      <c r="X484" s="164"/>
      <c r="Y484" s="164"/>
      <c r="Z484" s="164"/>
      <c r="AA484" s="164"/>
      <c r="AB484" s="164"/>
      <c r="AC484" s="164"/>
      <c r="AD484" s="164"/>
      <c r="AE484" s="100"/>
    </row>
    <row r="485" spans="1:31" s="2" customFormat="1" ht="13.5">
      <c r="A485" s="100"/>
      <c r="B485" s="93"/>
      <c r="C485" s="1159"/>
      <c r="D485" s="1160"/>
      <c r="E485" s="1160"/>
      <c r="F485" s="1161"/>
      <c r="G485" s="95">
        <f>IF('演算'!G1061="OVER","",IF('演算'!O953="OVER","※ 頻度の記入数が多過ぎます",IF(LEN(C485)&gt;'演算'!$L$49,"←文字数が多過ぎます","")))</f>
      </c>
      <c r="H485" s="98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164"/>
      <c r="T485" s="164"/>
      <c r="U485" s="164"/>
      <c r="V485" s="164"/>
      <c r="W485" s="164"/>
      <c r="X485" s="164"/>
      <c r="Y485" s="164"/>
      <c r="Z485" s="164"/>
      <c r="AA485" s="164"/>
      <c r="AB485" s="164"/>
      <c r="AC485" s="164"/>
      <c r="AD485" s="164"/>
      <c r="AE485" s="100"/>
    </row>
    <row r="486" spans="1:31" s="2" customFormat="1" ht="13.5">
      <c r="A486" s="100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164"/>
      <c r="T486" s="164"/>
      <c r="U486" s="164"/>
      <c r="V486" s="164"/>
      <c r="W486" s="164"/>
      <c r="X486" s="164"/>
      <c r="Y486" s="164"/>
      <c r="Z486" s="164"/>
      <c r="AA486" s="164"/>
      <c r="AB486" s="164"/>
      <c r="AC486" s="164"/>
      <c r="AD486" s="164"/>
      <c r="AE486" s="100"/>
    </row>
    <row r="487" spans="1:31" s="2" customFormat="1" ht="13.5">
      <c r="A487" s="100"/>
      <c r="B487" s="93"/>
      <c r="C487" s="93" t="s">
        <v>58</v>
      </c>
      <c r="D487" s="93"/>
      <c r="E487" s="93"/>
      <c r="F487" s="93"/>
      <c r="G487" s="93"/>
      <c r="H487" s="93"/>
      <c r="I487" s="93"/>
      <c r="J487" s="93"/>
      <c r="K487" s="93"/>
      <c r="L487" s="95" t="str">
        <f>IF('演算'!G1061="OVER","",IF(W473=0,"※ ③は記入できません","　"))</f>
        <v>　</v>
      </c>
      <c r="M487" s="93"/>
      <c r="N487" s="93"/>
      <c r="O487" s="93"/>
      <c r="P487" s="93"/>
      <c r="Q487" s="93"/>
      <c r="R487" s="93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64"/>
      <c r="AD487" s="164"/>
      <c r="AE487" s="100"/>
    </row>
    <row r="488" spans="1:31" s="63" customFormat="1" ht="13.5">
      <c r="A488" s="110"/>
      <c r="B488" s="111"/>
      <c r="C488" s="112" t="s">
        <v>415</v>
      </c>
      <c r="D488" s="1170"/>
      <c r="E488" s="1171"/>
      <c r="F488" s="113" t="s">
        <v>406</v>
      </c>
      <c r="G488" s="1170"/>
      <c r="H488" s="1171"/>
      <c r="I488" s="114" t="s">
        <v>409</v>
      </c>
      <c r="J488" s="1142" t="s">
        <v>497</v>
      </c>
      <c r="K488" s="1142"/>
      <c r="L488" s="1142" t="s">
        <v>416</v>
      </c>
      <c r="M488" s="1142"/>
      <c r="N488" s="1170"/>
      <c r="O488" s="1171"/>
      <c r="P488" s="111" t="s">
        <v>406</v>
      </c>
      <c r="Q488" s="1170"/>
      <c r="R488" s="1171"/>
      <c r="S488" s="171" t="s">
        <v>409</v>
      </c>
      <c r="T488" s="171"/>
      <c r="U488" s="171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10"/>
    </row>
    <row r="489" spans="1:31" s="2" customFormat="1" ht="13.5">
      <c r="A489" s="100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64"/>
      <c r="AC489" s="164"/>
      <c r="AD489" s="164"/>
      <c r="AE489" s="100"/>
    </row>
    <row r="490" spans="1:31" s="2" customFormat="1" ht="13.5">
      <c r="A490" s="100"/>
      <c r="B490" s="93"/>
      <c r="C490" s="93" t="s">
        <v>59</v>
      </c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164"/>
      <c r="T490" s="164"/>
      <c r="U490" s="164"/>
      <c r="V490" s="164"/>
      <c r="W490" s="164"/>
      <c r="X490" s="164"/>
      <c r="Y490" s="164"/>
      <c r="Z490" s="164"/>
      <c r="AA490" s="164"/>
      <c r="AB490" s="164"/>
      <c r="AC490" s="164"/>
      <c r="AD490" s="164"/>
      <c r="AE490" s="100"/>
    </row>
    <row r="491" spans="1:31" s="2" customFormat="1" ht="13.5">
      <c r="A491" s="100"/>
      <c r="B491" s="93"/>
      <c r="C491" s="55"/>
      <c r="D491" s="93"/>
      <c r="E491" s="95">
        <f>IF('演算'!G1061="OVER","",IF(W473=0,"※ ③は記入できません",IF(LEN(C491)&gt;1,"※ 達成度の文字数が多過ぎます","")))</f>
      </c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164"/>
      <c r="T491" s="164"/>
      <c r="U491" s="164"/>
      <c r="V491" s="164"/>
      <c r="W491" s="164"/>
      <c r="X491" s="164"/>
      <c r="Y491" s="164"/>
      <c r="Z491" s="164"/>
      <c r="AA491" s="164"/>
      <c r="AB491" s="164"/>
      <c r="AC491" s="164"/>
      <c r="AD491" s="164"/>
      <c r="AE491" s="100"/>
    </row>
    <row r="492" spans="1:31" s="2" customFormat="1" ht="13.5">
      <c r="A492" s="100"/>
      <c r="B492" s="93"/>
      <c r="C492" s="93"/>
      <c r="D492" s="93"/>
      <c r="E492" s="95"/>
      <c r="F492" s="93"/>
      <c r="G492" s="97"/>
      <c r="H492" s="97"/>
      <c r="I492" s="93"/>
      <c r="J492" s="93"/>
      <c r="K492" s="93"/>
      <c r="L492" s="93"/>
      <c r="M492" s="95"/>
      <c r="N492" s="93"/>
      <c r="O492" s="93"/>
      <c r="P492" s="93"/>
      <c r="Q492" s="93"/>
      <c r="R492" s="93"/>
      <c r="S492" s="164"/>
      <c r="T492" s="164"/>
      <c r="U492" s="164"/>
      <c r="V492" s="164"/>
      <c r="W492" s="164"/>
      <c r="X492" s="164"/>
      <c r="Y492" s="164"/>
      <c r="Z492" s="164"/>
      <c r="AA492" s="164"/>
      <c r="AB492" s="164"/>
      <c r="AC492" s="164"/>
      <c r="AD492" s="164"/>
      <c r="AE492" s="100"/>
    </row>
    <row r="493" spans="1:31" s="2" customFormat="1" ht="13.5">
      <c r="A493" s="100"/>
      <c r="B493" s="107"/>
      <c r="C493" s="107"/>
      <c r="D493" s="107"/>
      <c r="E493" s="107"/>
      <c r="F493" s="107"/>
      <c r="G493" s="108"/>
      <c r="H493" s="108"/>
      <c r="I493" s="107"/>
      <c r="J493" s="107"/>
      <c r="K493" s="107"/>
      <c r="L493" s="107"/>
      <c r="M493" s="109"/>
      <c r="N493" s="107"/>
      <c r="O493" s="107"/>
      <c r="P493" s="107"/>
      <c r="Q493" s="107"/>
      <c r="R493" s="107"/>
      <c r="S493" s="172"/>
      <c r="T493" s="172"/>
      <c r="U493" s="172"/>
      <c r="V493" s="172"/>
      <c r="W493" s="172"/>
      <c r="X493" s="172"/>
      <c r="Y493" s="172"/>
      <c r="Z493" s="172"/>
      <c r="AA493" s="172"/>
      <c r="AB493" s="172"/>
      <c r="AC493" s="172"/>
      <c r="AD493" s="172"/>
      <c r="AE493" s="100"/>
    </row>
    <row r="494" spans="1:31" s="2" customFormat="1" ht="13.5">
      <c r="A494" s="100"/>
      <c r="B494" s="93"/>
      <c r="C494" s="95">
        <f>IF('演算'!$G$1061="OVER","用紙の記入枠を超えているため、＃４は転記できません","")</f>
      </c>
      <c r="D494" s="93"/>
      <c r="E494" s="93"/>
      <c r="F494" s="93"/>
      <c r="G494" s="97"/>
      <c r="H494" s="97"/>
      <c r="I494" s="93"/>
      <c r="J494" s="93"/>
      <c r="K494" s="93"/>
      <c r="L494" s="93"/>
      <c r="M494" s="95"/>
      <c r="N494" s="93"/>
      <c r="O494" s="93"/>
      <c r="P494" s="93"/>
      <c r="Q494" s="93"/>
      <c r="R494" s="93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64"/>
      <c r="AC494" s="164"/>
      <c r="AD494" s="164"/>
      <c r="AE494" s="100"/>
    </row>
    <row r="495" spans="1:32" s="2" customFormat="1" ht="17.25">
      <c r="A495" s="100"/>
      <c r="B495" s="93"/>
      <c r="C495" s="93" t="s">
        <v>248</v>
      </c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164"/>
      <c r="T495" s="164"/>
      <c r="U495" s="164"/>
      <c r="V495" s="164"/>
      <c r="W495" s="1143">
        <f>'演算'!G975</f>
        <v>2468</v>
      </c>
      <c r="X495" s="1143"/>
      <c r="Y495" s="1143"/>
      <c r="Z495" s="164" t="s">
        <v>414</v>
      </c>
      <c r="AA495" s="164"/>
      <c r="AB495" s="164"/>
      <c r="AC495" s="164"/>
      <c r="AD495" s="167"/>
      <c r="AE495" s="102"/>
      <c r="AF495" s="5"/>
    </row>
    <row r="496" spans="1:32" s="2" customFormat="1" ht="94.5" customHeight="1">
      <c r="A496" s="100"/>
      <c r="B496" s="93"/>
      <c r="C496" s="1166"/>
      <c r="D496" s="1167"/>
      <c r="E496" s="1167"/>
      <c r="F496" s="1167"/>
      <c r="G496" s="1167"/>
      <c r="H496" s="1167"/>
      <c r="I496" s="1167"/>
      <c r="J496" s="1167"/>
      <c r="K496" s="1167"/>
      <c r="L496" s="1167"/>
      <c r="M496" s="1167"/>
      <c r="N496" s="1167"/>
      <c r="O496" s="1167"/>
      <c r="P496" s="1167"/>
      <c r="Q496" s="1167"/>
      <c r="R496" s="1167"/>
      <c r="S496" s="1167"/>
      <c r="T496" s="1167"/>
      <c r="U496" s="1167"/>
      <c r="V496" s="1167"/>
      <c r="W496" s="1167"/>
      <c r="X496" s="1167"/>
      <c r="Y496" s="1167"/>
      <c r="Z496" s="1167"/>
      <c r="AA496" s="1167"/>
      <c r="AB496" s="1167"/>
      <c r="AC496" s="1168"/>
      <c r="AD496" s="166"/>
      <c r="AE496" s="101"/>
      <c r="AF496" s="4"/>
    </row>
    <row r="497" spans="1:31" s="2" customFormat="1" ht="13.5">
      <c r="A497" s="100"/>
      <c r="B497" s="93"/>
      <c r="C497" s="93" t="s">
        <v>424</v>
      </c>
      <c r="D497" s="93"/>
      <c r="E497" s="93"/>
      <c r="F497" s="93"/>
      <c r="G497" s="1144">
        <f>LEN(C496)</f>
        <v>0</v>
      </c>
      <c r="H497" s="1144"/>
      <c r="I497" s="93" t="s">
        <v>412</v>
      </c>
      <c r="J497" s="93"/>
      <c r="K497" s="93"/>
      <c r="L497" s="93"/>
      <c r="M497" s="95" t="str">
        <f>IF('演算'!G1061="OVER","",IF(W495=0,"※ ④は記入できません",IF(G497&gt;W495,"※　文字数が多過ぎます"," ")))</f>
        <v> </v>
      </c>
      <c r="N497" s="93"/>
      <c r="O497" s="93"/>
      <c r="P497" s="93"/>
      <c r="Q497" s="93"/>
      <c r="R497" s="93"/>
      <c r="S497" s="164"/>
      <c r="T497" s="164"/>
      <c r="U497" s="164"/>
      <c r="V497" s="164"/>
      <c r="W497" s="164"/>
      <c r="X497" s="164"/>
      <c r="Y497" s="164"/>
      <c r="Z497" s="164"/>
      <c r="AA497" s="164"/>
      <c r="AB497" s="164"/>
      <c r="AC497" s="164"/>
      <c r="AD497" s="164"/>
      <c r="AE497" s="100"/>
    </row>
    <row r="498" spans="1:31" s="2" customFormat="1" ht="13.5">
      <c r="A498" s="100"/>
      <c r="B498" s="93"/>
      <c r="C498" s="93"/>
      <c r="D498" s="93"/>
      <c r="E498" s="93"/>
      <c r="F498" s="93"/>
      <c r="G498" s="97"/>
      <c r="H498" s="97"/>
      <c r="I498" s="93"/>
      <c r="J498" s="93"/>
      <c r="K498" s="93"/>
      <c r="L498" s="93"/>
      <c r="M498" s="95"/>
      <c r="N498" s="93"/>
      <c r="O498" s="93"/>
      <c r="P498" s="93"/>
      <c r="Q498" s="93"/>
      <c r="R498" s="93"/>
      <c r="S498" s="164"/>
      <c r="T498" s="164"/>
      <c r="U498" s="164"/>
      <c r="V498" s="164"/>
      <c r="W498" s="164"/>
      <c r="X498" s="164"/>
      <c r="Y498" s="164"/>
      <c r="Z498" s="164"/>
      <c r="AA498" s="164"/>
      <c r="AB498" s="164"/>
      <c r="AC498" s="164"/>
      <c r="AD498" s="164"/>
      <c r="AE498" s="100"/>
    </row>
    <row r="499" spans="1:31" s="2" customFormat="1" ht="13.5">
      <c r="A499" s="100"/>
      <c r="B499" s="93"/>
      <c r="C499" s="93" t="s">
        <v>94</v>
      </c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8" t="str">
        <f>IF('演算'!G1061="OVER","",IF($W$495=0,"※ ④は記入できません","　"))</f>
        <v>　</v>
      </c>
      <c r="S499" s="164"/>
      <c r="T499" s="164"/>
      <c r="U499" s="164"/>
      <c r="V499" s="164"/>
      <c r="W499" s="164"/>
      <c r="X499" s="164"/>
      <c r="Y499" s="164"/>
      <c r="Z499" s="164"/>
      <c r="AA499" s="164"/>
      <c r="AB499" s="164"/>
      <c r="AC499" s="164"/>
      <c r="AD499" s="164"/>
      <c r="AE499" s="100"/>
    </row>
    <row r="500" spans="1:32" s="2" customFormat="1" ht="13.5">
      <c r="A500" s="100"/>
      <c r="B500" s="93"/>
      <c r="C500" s="1162"/>
      <c r="D500" s="1163"/>
      <c r="E500" s="1163"/>
      <c r="F500" s="1164"/>
      <c r="G500" s="98">
        <f>IF('演算'!G1061="OVER","",IF((W495+2)/'演算'!$L$32=1,"※ 担当者は１名しか記入できません",IF(LEN(C500)&gt;'演算'!$L$40,"←文字数が多過ぎます","")))</f>
      </c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70"/>
      <c r="AE500" s="104"/>
      <c r="AF500" s="3"/>
    </row>
    <row r="501" spans="1:32" s="2" customFormat="1" ht="13.5">
      <c r="A501" s="100"/>
      <c r="B501" s="93"/>
      <c r="C501" s="1162"/>
      <c r="D501" s="1163"/>
      <c r="E501" s="1163"/>
      <c r="F501" s="1164"/>
      <c r="G501" s="98">
        <f>IF('演算'!G1061="OVER","",IF((W495+2)/'演算'!$L$32=2,"※ 担当者は2名しか記入できません",IF(LEN(C501)&gt;'演算'!$L$40,"←文字数が多過ぎます","")))</f>
      </c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170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04"/>
      <c r="AF501" s="3"/>
    </row>
    <row r="502" spans="1:32" s="2" customFormat="1" ht="13.5">
      <c r="A502" s="100"/>
      <c r="B502" s="93"/>
      <c r="C502" s="1162"/>
      <c r="D502" s="1163"/>
      <c r="E502" s="1163"/>
      <c r="F502" s="1164"/>
      <c r="G502" s="98">
        <f>IF('演算'!G1061="OVER","",IF((W495+2)/'演算'!$L$32=3,"※ 担当者は3名しか記入できません",IF(LEN(C502)&gt;'演算'!$L$40,"←文字数が多過ぎます","")))</f>
      </c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170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04"/>
      <c r="AF502" s="3"/>
    </row>
    <row r="503" spans="1:32" s="2" customFormat="1" ht="13.5">
      <c r="A503" s="100"/>
      <c r="B503" s="93"/>
      <c r="C503" s="1162"/>
      <c r="D503" s="1163"/>
      <c r="E503" s="1163"/>
      <c r="F503" s="1164"/>
      <c r="G503" s="98">
        <f>IF('演算'!G1061="OVER","",IF('演算'!O986="OVER","※ 担当者の人数が多過ぎます",IF(LEN(C503)&gt;'演算'!$L$40,"←文字数が多過ぎます","")))</f>
      </c>
      <c r="H503" s="98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04"/>
      <c r="AF503" s="3"/>
    </row>
    <row r="504" spans="1:31" s="2" customFormat="1" ht="13.5">
      <c r="A504" s="100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164"/>
      <c r="T504" s="164"/>
      <c r="U504" s="164"/>
      <c r="V504" s="164"/>
      <c r="W504" s="164"/>
      <c r="X504" s="164"/>
      <c r="Y504" s="164"/>
      <c r="Z504" s="164"/>
      <c r="AA504" s="164"/>
      <c r="AB504" s="164"/>
      <c r="AC504" s="164"/>
      <c r="AD504" s="164"/>
      <c r="AE504" s="100"/>
    </row>
    <row r="505" spans="1:31" s="2" customFormat="1" ht="13.5">
      <c r="A505" s="100"/>
      <c r="B505" s="93"/>
      <c r="C505" s="93" t="s">
        <v>95</v>
      </c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5" t="str">
        <f>IF('演算'!G1061="OVER","",IF($W$495=0,"※ ④は記入できません","　"))</f>
        <v>　</v>
      </c>
      <c r="S505" s="164"/>
      <c r="T505" s="164"/>
      <c r="U505" s="164"/>
      <c r="V505" s="164"/>
      <c r="W505" s="164"/>
      <c r="X505" s="164"/>
      <c r="Y505" s="164"/>
      <c r="Z505" s="164"/>
      <c r="AA505" s="164"/>
      <c r="AB505" s="164"/>
      <c r="AC505" s="164"/>
      <c r="AD505" s="164"/>
      <c r="AE505" s="100"/>
    </row>
    <row r="506" spans="1:31" s="2" customFormat="1" ht="13.5">
      <c r="A506" s="100"/>
      <c r="B506" s="93"/>
      <c r="C506" s="1159"/>
      <c r="D506" s="1160"/>
      <c r="E506" s="1160"/>
      <c r="F506" s="1161"/>
      <c r="G506" s="95">
        <f>IF('演算'!G1061="OVER","",IF((W495+2)/'演算'!$L$32=1,"※ 頻度はひとつしか記入できません",IF(LEN(C506)&gt;'演算'!$L$49,"←文字数が多過ぎます","")))</f>
      </c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164"/>
      <c r="T506" s="164"/>
      <c r="U506" s="164"/>
      <c r="V506" s="164"/>
      <c r="W506" s="164"/>
      <c r="X506" s="164"/>
      <c r="Y506" s="164"/>
      <c r="Z506" s="164"/>
      <c r="AA506" s="164"/>
      <c r="AB506" s="164"/>
      <c r="AC506" s="164"/>
      <c r="AD506" s="164"/>
      <c r="AE506" s="100"/>
    </row>
    <row r="507" spans="1:31" s="2" customFormat="1" ht="13.5">
      <c r="A507" s="100"/>
      <c r="B507" s="93"/>
      <c r="C507" s="1159"/>
      <c r="D507" s="1160"/>
      <c r="E507" s="1160"/>
      <c r="F507" s="1161"/>
      <c r="G507" s="95">
        <f>IF('演算'!G1061="OVER","",IF('演算'!O997="OVER","※ 頻度の記入数が多過ぎます",IF(LEN(C507)&gt;'演算'!$L$49,"←文字数が多過ぎます","")))</f>
      </c>
      <c r="H507" s="98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  <c r="AC507" s="164"/>
      <c r="AD507" s="164"/>
      <c r="AE507" s="100"/>
    </row>
    <row r="508" spans="1:31" s="2" customFormat="1" ht="13.5">
      <c r="A508" s="100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00"/>
    </row>
    <row r="509" spans="1:31" s="2" customFormat="1" ht="13.5">
      <c r="A509" s="100"/>
      <c r="B509" s="93"/>
      <c r="C509" s="93" t="s">
        <v>60</v>
      </c>
      <c r="D509" s="93"/>
      <c r="E509" s="93"/>
      <c r="F509" s="93"/>
      <c r="G509" s="93"/>
      <c r="H509" s="93"/>
      <c r="I509" s="93"/>
      <c r="J509" s="93"/>
      <c r="K509" s="93"/>
      <c r="L509" s="95" t="str">
        <f>IF('演算'!G1061="OVER","",IF(W495=0,"※ ④は記入できません","　"))</f>
        <v>　</v>
      </c>
      <c r="M509" s="93"/>
      <c r="N509" s="93"/>
      <c r="O509" s="93"/>
      <c r="P509" s="93"/>
      <c r="Q509" s="93"/>
      <c r="R509" s="93"/>
      <c r="S509" s="164"/>
      <c r="T509" s="164"/>
      <c r="U509" s="164"/>
      <c r="V509" s="164"/>
      <c r="W509" s="164"/>
      <c r="X509" s="164"/>
      <c r="Y509" s="164"/>
      <c r="Z509" s="164"/>
      <c r="AA509" s="164"/>
      <c r="AB509" s="164"/>
      <c r="AC509" s="164"/>
      <c r="AD509" s="164"/>
      <c r="AE509" s="100"/>
    </row>
    <row r="510" spans="1:31" s="63" customFormat="1" ht="13.5">
      <c r="A510" s="110"/>
      <c r="B510" s="111"/>
      <c r="C510" s="112" t="s">
        <v>415</v>
      </c>
      <c r="D510" s="1170"/>
      <c r="E510" s="1171"/>
      <c r="F510" s="113" t="s">
        <v>406</v>
      </c>
      <c r="G510" s="1170"/>
      <c r="H510" s="1171"/>
      <c r="I510" s="114" t="s">
        <v>409</v>
      </c>
      <c r="J510" s="1142" t="s">
        <v>497</v>
      </c>
      <c r="K510" s="1142"/>
      <c r="L510" s="1142" t="s">
        <v>416</v>
      </c>
      <c r="M510" s="1142"/>
      <c r="N510" s="1170"/>
      <c r="O510" s="1171"/>
      <c r="P510" s="111" t="s">
        <v>406</v>
      </c>
      <c r="Q510" s="1170"/>
      <c r="R510" s="1171"/>
      <c r="S510" s="171" t="s">
        <v>409</v>
      </c>
      <c r="T510" s="171"/>
      <c r="U510" s="171"/>
      <c r="V510" s="164"/>
      <c r="W510" s="164"/>
      <c r="X510" s="164"/>
      <c r="Y510" s="164"/>
      <c r="Z510" s="164"/>
      <c r="AA510" s="164"/>
      <c r="AB510" s="164"/>
      <c r="AC510" s="164"/>
      <c r="AD510" s="164"/>
      <c r="AE510" s="110"/>
    </row>
    <row r="511" spans="1:31" s="2" customFormat="1" ht="13.5">
      <c r="A511" s="100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164"/>
      <c r="T511" s="164"/>
      <c r="U511" s="164"/>
      <c r="V511" s="164"/>
      <c r="W511" s="164"/>
      <c r="X511" s="164"/>
      <c r="Y511" s="164"/>
      <c r="Z511" s="164"/>
      <c r="AA511" s="164"/>
      <c r="AB511" s="164"/>
      <c r="AC511" s="164"/>
      <c r="AD511" s="164"/>
      <c r="AE511" s="100"/>
    </row>
    <row r="512" spans="1:31" s="2" customFormat="1" ht="13.5">
      <c r="A512" s="100"/>
      <c r="B512" s="93"/>
      <c r="C512" s="93" t="s">
        <v>61</v>
      </c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164"/>
      <c r="T512" s="164"/>
      <c r="U512" s="164"/>
      <c r="V512" s="164"/>
      <c r="W512" s="164"/>
      <c r="X512" s="164"/>
      <c r="Y512" s="164"/>
      <c r="Z512" s="164"/>
      <c r="AA512" s="164"/>
      <c r="AB512" s="164"/>
      <c r="AC512" s="164"/>
      <c r="AD512" s="164"/>
      <c r="AE512" s="100"/>
    </row>
    <row r="513" spans="1:31" s="2" customFormat="1" ht="13.5">
      <c r="A513" s="100"/>
      <c r="B513" s="93"/>
      <c r="C513" s="55"/>
      <c r="D513" s="93"/>
      <c r="E513" s="95">
        <f>IF('演算'!G1061="OVER","",IF(W495=0,"※ ④は記入できません",IF(LEN(C513)&gt;1,"※ 達成度の文字数が多過ぎます","")))</f>
      </c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164"/>
      <c r="T513" s="164"/>
      <c r="U513" s="164"/>
      <c r="V513" s="164"/>
      <c r="W513" s="164"/>
      <c r="X513" s="164"/>
      <c r="Y513" s="164"/>
      <c r="Z513" s="164"/>
      <c r="AA513" s="164"/>
      <c r="AB513" s="164"/>
      <c r="AC513" s="164"/>
      <c r="AD513" s="164"/>
      <c r="AE513" s="100"/>
    </row>
    <row r="514" spans="1:31" s="2" customFormat="1" ht="13.5">
      <c r="A514" s="100"/>
      <c r="B514" s="93"/>
      <c r="C514" s="93"/>
      <c r="D514" s="93"/>
      <c r="E514" s="95"/>
      <c r="F514" s="93"/>
      <c r="G514" s="97"/>
      <c r="H514" s="97"/>
      <c r="I514" s="93"/>
      <c r="J514" s="93"/>
      <c r="K514" s="93"/>
      <c r="L514" s="93"/>
      <c r="M514" s="95"/>
      <c r="N514" s="93"/>
      <c r="O514" s="93"/>
      <c r="P514" s="93"/>
      <c r="Q514" s="93"/>
      <c r="R514" s="93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164"/>
      <c r="AE514" s="100"/>
    </row>
    <row r="515" spans="1:31" s="2" customFormat="1" ht="13.5">
      <c r="A515" s="100"/>
      <c r="B515" s="107"/>
      <c r="C515" s="107"/>
      <c r="D515" s="107"/>
      <c r="E515" s="107"/>
      <c r="F515" s="107"/>
      <c r="G515" s="108"/>
      <c r="H515" s="108"/>
      <c r="I515" s="107"/>
      <c r="J515" s="107"/>
      <c r="K515" s="107"/>
      <c r="L515" s="107"/>
      <c r="M515" s="109"/>
      <c r="N515" s="107"/>
      <c r="O515" s="107"/>
      <c r="P515" s="107"/>
      <c r="Q515" s="107"/>
      <c r="R515" s="107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00"/>
    </row>
    <row r="516" spans="1:31" s="2" customFormat="1" ht="13.5">
      <c r="A516" s="100"/>
      <c r="B516" s="93"/>
      <c r="C516" s="95">
        <f>IF('演算'!$G$1061="OVER","用紙の記入枠を超えているため、＃４は転記できません","")</f>
      </c>
      <c r="D516" s="93"/>
      <c r="E516" s="93"/>
      <c r="F516" s="93"/>
      <c r="G516" s="97"/>
      <c r="H516" s="97"/>
      <c r="I516" s="93"/>
      <c r="J516" s="93"/>
      <c r="K516" s="93"/>
      <c r="L516" s="93"/>
      <c r="M516" s="95"/>
      <c r="N516" s="93"/>
      <c r="O516" s="93"/>
      <c r="P516" s="93"/>
      <c r="Q516" s="93"/>
      <c r="R516" s="93"/>
      <c r="S516" s="164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00"/>
    </row>
    <row r="517" spans="1:32" s="2" customFormat="1" ht="17.25">
      <c r="A517" s="100"/>
      <c r="B517" s="93"/>
      <c r="C517" s="93" t="s">
        <v>205</v>
      </c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164"/>
      <c r="T517" s="164"/>
      <c r="U517" s="164"/>
      <c r="V517" s="164"/>
      <c r="W517" s="1143">
        <f>'演算'!G1019</f>
        <v>2468</v>
      </c>
      <c r="X517" s="1143"/>
      <c r="Y517" s="1143"/>
      <c r="Z517" s="164" t="s">
        <v>414</v>
      </c>
      <c r="AA517" s="164"/>
      <c r="AB517" s="164"/>
      <c r="AC517" s="164"/>
      <c r="AD517" s="167"/>
      <c r="AE517" s="102"/>
      <c r="AF517" s="5"/>
    </row>
    <row r="518" spans="1:32" s="2" customFormat="1" ht="94.5" customHeight="1">
      <c r="A518" s="100"/>
      <c r="B518" s="93"/>
      <c r="C518" s="1166"/>
      <c r="D518" s="1167"/>
      <c r="E518" s="1167"/>
      <c r="F518" s="1167"/>
      <c r="G518" s="1167"/>
      <c r="H518" s="1167"/>
      <c r="I518" s="1167"/>
      <c r="J518" s="1167"/>
      <c r="K518" s="1167"/>
      <c r="L518" s="1167"/>
      <c r="M518" s="1167"/>
      <c r="N518" s="1167"/>
      <c r="O518" s="1167"/>
      <c r="P518" s="1167"/>
      <c r="Q518" s="1167"/>
      <c r="R518" s="1167"/>
      <c r="S518" s="1167"/>
      <c r="T518" s="1167"/>
      <c r="U518" s="1167"/>
      <c r="V518" s="1167"/>
      <c r="W518" s="1167"/>
      <c r="X518" s="1167"/>
      <c r="Y518" s="1167"/>
      <c r="Z518" s="1167"/>
      <c r="AA518" s="1167"/>
      <c r="AB518" s="1167"/>
      <c r="AC518" s="1168"/>
      <c r="AD518" s="166"/>
      <c r="AE518" s="101"/>
      <c r="AF518" s="4"/>
    </row>
    <row r="519" spans="1:31" s="2" customFormat="1" ht="13.5">
      <c r="A519" s="100"/>
      <c r="B519" s="93"/>
      <c r="C519" s="93" t="s">
        <v>424</v>
      </c>
      <c r="D519" s="93"/>
      <c r="E519" s="93"/>
      <c r="F519" s="93"/>
      <c r="G519" s="1144">
        <f>LEN(C518)</f>
        <v>0</v>
      </c>
      <c r="H519" s="1144"/>
      <c r="I519" s="93" t="s">
        <v>412</v>
      </c>
      <c r="J519" s="93"/>
      <c r="K519" s="93"/>
      <c r="L519" s="93"/>
      <c r="M519" s="95" t="str">
        <f>IF('演算'!G1061="OVER","",IF(W517=0,"※ ⑤は記入できません",IF(G519&gt;W517,"※　文字数が多過ぎます"," ")))</f>
        <v> </v>
      </c>
      <c r="N519" s="93"/>
      <c r="O519" s="93"/>
      <c r="P519" s="93"/>
      <c r="Q519" s="93"/>
      <c r="R519" s="93"/>
      <c r="S519" s="164"/>
      <c r="T519" s="164"/>
      <c r="U519" s="164"/>
      <c r="V519" s="164"/>
      <c r="W519" s="164"/>
      <c r="X519" s="164"/>
      <c r="Y519" s="164"/>
      <c r="Z519" s="164"/>
      <c r="AA519" s="164"/>
      <c r="AB519" s="164"/>
      <c r="AC519" s="164"/>
      <c r="AD519" s="164"/>
      <c r="AE519" s="100"/>
    </row>
    <row r="520" spans="1:31" s="2" customFormat="1" ht="13.5">
      <c r="A520" s="100"/>
      <c r="B520" s="93"/>
      <c r="C520" s="93"/>
      <c r="D520" s="93"/>
      <c r="E520" s="93"/>
      <c r="F520" s="93"/>
      <c r="G520" s="97"/>
      <c r="H520" s="97"/>
      <c r="I520" s="93"/>
      <c r="J520" s="93"/>
      <c r="K520" s="93"/>
      <c r="L520" s="93"/>
      <c r="M520" s="95"/>
      <c r="N520" s="93"/>
      <c r="O520" s="93"/>
      <c r="P520" s="93"/>
      <c r="Q520" s="93"/>
      <c r="R520" s="93"/>
      <c r="S520" s="164"/>
      <c r="T520" s="164"/>
      <c r="U520" s="164"/>
      <c r="V520" s="164"/>
      <c r="W520" s="164"/>
      <c r="X520" s="164"/>
      <c r="Y520" s="164"/>
      <c r="Z520" s="164"/>
      <c r="AA520" s="164"/>
      <c r="AB520" s="164"/>
      <c r="AC520" s="164"/>
      <c r="AD520" s="164"/>
      <c r="AE520" s="100"/>
    </row>
    <row r="521" spans="1:31" s="2" customFormat="1" ht="13.5">
      <c r="A521" s="100"/>
      <c r="B521" s="93"/>
      <c r="C521" s="93" t="s">
        <v>206</v>
      </c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8" t="str">
        <f>IF('演算'!G1061="OVER","",IF(W517=0,"※ ⑤は記入できません","　"))</f>
        <v>　</v>
      </c>
      <c r="S521" s="164"/>
      <c r="T521" s="164"/>
      <c r="U521" s="164"/>
      <c r="V521" s="164"/>
      <c r="W521" s="164"/>
      <c r="X521" s="164"/>
      <c r="Y521" s="164"/>
      <c r="Z521" s="164"/>
      <c r="AA521" s="164"/>
      <c r="AB521" s="164"/>
      <c r="AC521" s="164"/>
      <c r="AD521" s="164"/>
      <c r="AE521" s="100"/>
    </row>
    <row r="522" spans="1:32" s="2" customFormat="1" ht="13.5">
      <c r="A522" s="100"/>
      <c r="B522" s="93"/>
      <c r="C522" s="1162"/>
      <c r="D522" s="1163"/>
      <c r="E522" s="1163"/>
      <c r="F522" s="1164"/>
      <c r="G522" s="98">
        <f>IF('演算'!G1061="OVER","",IF((W517+2)/'演算'!$L$32=1,"※ 担当者は１名しか記入できません",IF(LEN(C522)&gt;'演算'!$L$40,"←文字数が多過ぎます","")))</f>
      </c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169"/>
      <c r="T522" s="169"/>
      <c r="U522" s="169"/>
      <c r="V522" s="169"/>
      <c r="W522" s="169"/>
      <c r="X522" s="169"/>
      <c r="Y522" s="169"/>
      <c r="Z522" s="169"/>
      <c r="AA522" s="169"/>
      <c r="AB522" s="169"/>
      <c r="AC522" s="169"/>
      <c r="AD522" s="170"/>
      <c r="AE522" s="104"/>
      <c r="AF522" s="3"/>
    </row>
    <row r="523" spans="1:32" s="2" customFormat="1" ht="13.5">
      <c r="A523" s="100"/>
      <c r="B523" s="93"/>
      <c r="C523" s="1162"/>
      <c r="D523" s="1163"/>
      <c r="E523" s="1163"/>
      <c r="F523" s="1164"/>
      <c r="G523" s="98">
        <f>IF('演算'!G1061="OVER","",IF((W517+2)/'演算'!$L$32=2,"※ 担当者は2名しか記入できません",IF(LEN(C523)&gt;'演算'!$L$40,"←文字数が多過ぎます","")))</f>
      </c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04"/>
      <c r="AF523" s="3"/>
    </row>
    <row r="524" spans="1:32" s="2" customFormat="1" ht="13.5">
      <c r="A524" s="100"/>
      <c r="B524" s="93"/>
      <c r="C524" s="1162"/>
      <c r="D524" s="1163"/>
      <c r="E524" s="1163"/>
      <c r="F524" s="1164"/>
      <c r="G524" s="98">
        <f>IF('演算'!G1061="OVER","",IF((W517+2)/'演算'!$L$32=3,"※ 担当者は3名しか記入できません",IF(LEN(C524)&gt;'演算'!$L$40,"←文字数が多過ぎます","")))</f>
      </c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04"/>
      <c r="AF524" s="3"/>
    </row>
    <row r="525" spans="1:32" s="2" customFormat="1" ht="13.5">
      <c r="A525" s="100"/>
      <c r="B525" s="93"/>
      <c r="C525" s="1162"/>
      <c r="D525" s="1163"/>
      <c r="E525" s="1163"/>
      <c r="F525" s="1164"/>
      <c r="G525" s="98">
        <f>IF('演算'!G1061="OVER","",IF('演算'!O1030="OVER","※ 担当者の人数が多過ぎます",IF(LEN(C525)&gt;'演算'!$L$40,"←文字数が多過ぎます","")))</f>
      </c>
      <c r="H525" s="98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04"/>
      <c r="AF525" s="3"/>
    </row>
    <row r="526" spans="1:31" s="2" customFormat="1" ht="13.5">
      <c r="A526" s="100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  <c r="AE526" s="100"/>
    </row>
    <row r="527" spans="1:31" s="2" customFormat="1" ht="13.5">
      <c r="A527" s="100"/>
      <c r="B527" s="93"/>
      <c r="C527" s="93" t="s">
        <v>207</v>
      </c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5" t="str">
        <f>IF('演算'!G1061="OVER","",IF(W517=0,"※ ⑤は記入できません","　"))</f>
        <v>　</v>
      </c>
      <c r="S527" s="164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  <c r="AE527" s="100"/>
    </row>
    <row r="528" spans="1:31" s="2" customFormat="1" ht="13.5">
      <c r="A528" s="100"/>
      <c r="B528" s="93"/>
      <c r="C528" s="1159"/>
      <c r="D528" s="1160"/>
      <c r="E528" s="1160"/>
      <c r="F528" s="1161"/>
      <c r="G528" s="95">
        <f>IF('演算'!G1061="OVER","",IF((W517+2)/'演算'!$L$32=1,"※ 頻度はひとつしか記入できません",IF(LEN(C528)&gt;'演算'!$L$49,"←文字数が多過ぎます","")))</f>
      </c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00"/>
    </row>
    <row r="529" spans="1:31" s="2" customFormat="1" ht="13.5">
      <c r="A529" s="100"/>
      <c r="B529" s="93"/>
      <c r="C529" s="1159"/>
      <c r="D529" s="1160"/>
      <c r="E529" s="1160"/>
      <c r="F529" s="1161"/>
      <c r="G529" s="95">
        <f>IF('演算'!G1061="OVER","",IF('演算'!O1041="OVER","※ 頻度の記入数が多過ぎます",IF(LEN(C529)&gt;'演算'!$L$49,"←文字数が多過ぎます","")))</f>
      </c>
      <c r="H529" s="98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00"/>
    </row>
    <row r="530" spans="1:31" s="2" customFormat="1" ht="13.5">
      <c r="A530" s="100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00"/>
    </row>
    <row r="531" spans="1:31" s="2" customFormat="1" ht="13.5">
      <c r="A531" s="100"/>
      <c r="B531" s="93"/>
      <c r="C531" s="93" t="s">
        <v>208</v>
      </c>
      <c r="D531" s="93"/>
      <c r="E531" s="93"/>
      <c r="F531" s="93"/>
      <c r="G531" s="93"/>
      <c r="H531" s="93"/>
      <c r="I531" s="93"/>
      <c r="J531" s="93"/>
      <c r="K531" s="93"/>
      <c r="L531" s="95" t="str">
        <f>IF('演算'!G1061="OVER","",IF(W517=0,"※ ⑤は記入できません","　"))</f>
        <v>　</v>
      </c>
      <c r="M531" s="93"/>
      <c r="N531" s="93"/>
      <c r="O531" s="93"/>
      <c r="P531" s="93"/>
      <c r="Q531" s="93"/>
      <c r="R531" s="93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00"/>
    </row>
    <row r="532" spans="1:31" s="63" customFormat="1" ht="13.5">
      <c r="A532" s="110"/>
      <c r="B532" s="111"/>
      <c r="C532" s="112" t="s">
        <v>415</v>
      </c>
      <c r="D532" s="1170"/>
      <c r="E532" s="1171"/>
      <c r="F532" s="113" t="s">
        <v>406</v>
      </c>
      <c r="G532" s="1170"/>
      <c r="H532" s="1171"/>
      <c r="I532" s="114" t="s">
        <v>409</v>
      </c>
      <c r="J532" s="1142" t="s">
        <v>497</v>
      </c>
      <c r="K532" s="1142"/>
      <c r="L532" s="1142" t="s">
        <v>416</v>
      </c>
      <c r="M532" s="1142"/>
      <c r="N532" s="1170"/>
      <c r="O532" s="1171"/>
      <c r="P532" s="111" t="s">
        <v>406</v>
      </c>
      <c r="Q532" s="1170"/>
      <c r="R532" s="1171"/>
      <c r="S532" s="171" t="s">
        <v>409</v>
      </c>
      <c r="T532" s="171"/>
      <c r="U532" s="171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10"/>
    </row>
    <row r="533" spans="1:31" s="2" customFormat="1" ht="13.5">
      <c r="A533" s="100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00"/>
    </row>
    <row r="534" spans="1:31" s="2" customFormat="1" ht="13.5">
      <c r="A534" s="100"/>
      <c r="B534" s="93"/>
      <c r="C534" s="93" t="s">
        <v>209</v>
      </c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00"/>
    </row>
    <row r="535" spans="1:31" s="2" customFormat="1" ht="13.5">
      <c r="A535" s="100"/>
      <c r="B535" s="93"/>
      <c r="C535" s="55"/>
      <c r="D535" s="93"/>
      <c r="E535" s="95">
        <f>IF('演算'!G1061="OVER","",IF(W517=0,"※ ⑤は記入できません",IF(LEN(C535)&gt;1,"※ 達成度の文字数が多過ぎます","")))</f>
      </c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00"/>
    </row>
    <row r="536" spans="1:31" s="2" customFormat="1" ht="13.5">
      <c r="A536" s="100"/>
      <c r="B536" s="93"/>
      <c r="C536" s="93"/>
      <c r="D536" s="93"/>
      <c r="E536" s="95"/>
      <c r="F536" s="93"/>
      <c r="G536" s="97"/>
      <c r="H536" s="97"/>
      <c r="I536" s="93"/>
      <c r="J536" s="93"/>
      <c r="K536" s="93"/>
      <c r="L536" s="93"/>
      <c r="M536" s="95"/>
      <c r="N536" s="93"/>
      <c r="O536" s="93"/>
      <c r="P536" s="93"/>
      <c r="Q536" s="93"/>
      <c r="R536" s="93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00"/>
    </row>
    <row r="537" spans="1:31" ht="13.5">
      <c r="A537" s="208"/>
      <c r="B537" s="208"/>
      <c r="C537" s="208"/>
      <c r="D537" s="208"/>
      <c r="E537" s="208"/>
      <c r="F537" s="208"/>
      <c r="G537" s="208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9"/>
      <c r="T537" s="209"/>
      <c r="U537" s="209"/>
      <c r="V537" s="209"/>
      <c r="W537" s="209"/>
      <c r="X537" s="209"/>
      <c r="Y537" s="209"/>
      <c r="Z537" s="209"/>
      <c r="AA537" s="209"/>
      <c r="AB537" s="209"/>
      <c r="AC537" s="209"/>
      <c r="AD537" s="209"/>
      <c r="AE537" s="208"/>
    </row>
    <row r="538" spans="1:31" s="2" customFormat="1" ht="13.5">
      <c r="A538" s="210"/>
      <c r="B538" s="210"/>
      <c r="C538" s="241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45"/>
      <c r="T538" s="245"/>
      <c r="U538" s="245"/>
      <c r="V538" s="245"/>
      <c r="W538" s="245"/>
      <c r="X538" s="245"/>
      <c r="Y538" s="245"/>
      <c r="Z538" s="245"/>
      <c r="AA538" s="245"/>
      <c r="AB538" s="245"/>
      <c r="AC538" s="245"/>
      <c r="AD538" s="245"/>
      <c r="AE538" s="210"/>
    </row>
    <row r="539" spans="1:31" s="2" customFormat="1" ht="13.5">
      <c r="A539" s="210"/>
      <c r="B539" s="211"/>
      <c r="C539" s="212">
        <f>IF('演算'!$G$1340="OVER","用紙の記入枠を超えているため、＃５は転記できません","")</f>
      </c>
      <c r="D539" s="211"/>
      <c r="E539" s="211"/>
      <c r="F539" s="211"/>
      <c r="G539" s="211"/>
      <c r="H539" s="211"/>
      <c r="I539" s="211"/>
      <c r="J539" s="211"/>
      <c r="K539" s="211"/>
      <c r="L539" s="211"/>
      <c r="M539" s="211"/>
      <c r="N539" s="211"/>
      <c r="O539" s="211"/>
      <c r="P539" s="211"/>
      <c r="Q539" s="211"/>
      <c r="R539" s="211"/>
      <c r="S539" s="213"/>
      <c r="T539" s="213"/>
      <c r="U539" s="213"/>
      <c r="V539" s="213"/>
      <c r="W539" s="213"/>
      <c r="X539" s="213"/>
      <c r="Y539" s="213"/>
      <c r="Z539" s="213"/>
      <c r="AA539" s="213"/>
      <c r="AB539" s="213"/>
      <c r="AC539" s="213"/>
      <c r="AD539" s="213"/>
      <c r="AE539" s="239"/>
    </row>
    <row r="540" spans="1:31" s="2" customFormat="1" ht="13.5">
      <c r="A540" s="210"/>
      <c r="B540" s="211"/>
      <c r="C540" s="211" t="s">
        <v>213</v>
      </c>
      <c r="D540" s="211"/>
      <c r="E540" s="211"/>
      <c r="F540" s="211"/>
      <c r="G540" s="211"/>
      <c r="H540" s="211"/>
      <c r="I540" s="211"/>
      <c r="J540" s="211"/>
      <c r="K540" s="211"/>
      <c r="L540" s="211"/>
      <c r="M540" s="211"/>
      <c r="N540" s="1150">
        <f>'演算'!G1088</f>
        <v>1545</v>
      </c>
      <c r="O540" s="1150"/>
      <c r="P540" s="211" t="s">
        <v>414</v>
      </c>
      <c r="Q540" s="214"/>
      <c r="R540" s="214"/>
      <c r="S540" s="215"/>
      <c r="T540" s="213"/>
      <c r="U540" s="213"/>
      <c r="V540" s="213"/>
      <c r="W540" s="213"/>
      <c r="X540" s="213"/>
      <c r="Y540" s="213"/>
      <c r="Z540" s="213"/>
      <c r="AA540" s="213"/>
      <c r="AB540" s="213"/>
      <c r="AC540" s="213"/>
      <c r="AD540" s="213"/>
      <c r="AE540" s="239"/>
    </row>
    <row r="541" spans="1:32" s="2" customFormat="1" ht="82.5" customHeight="1">
      <c r="A541" s="210"/>
      <c r="B541" s="211"/>
      <c r="C541" s="1166"/>
      <c r="D541" s="1167"/>
      <c r="E541" s="1167"/>
      <c r="F541" s="1167"/>
      <c r="G541" s="1167"/>
      <c r="H541" s="1167"/>
      <c r="I541" s="1167"/>
      <c r="J541" s="1167"/>
      <c r="K541" s="1167"/>
      <c r="L541" s="1167"/>
      <c r="M541" s="1167"/>
      <c r="N541" s="1167"/>
      <c r="O541" s="1167"/>
      <c r="P541" s="1167"/>
      <c r="Q541" s="1167"/>
      <c r="R541" s="1167"/>
      <c r="S541" s="1167"/>
      <c r="T541" s="1167"/>
      <c r="U541" s="1167"/>
      <c r="V541" s="1167"/>
      <c r="W541" s="1167"/>
      <c r="X541" s="1167"/>
      <c r="Y541" s="1167"/>
      <c r="Z541" s="1167"/>
      <c r="AA541" s="1167"/>
      <c r="AB541" s="1167"/>
      <c r="AC541" s="1168"/>
      <c r="AD541" s="216"/>
      <c r="AE541" s="240"/>
      <c r="AF541" s="5"/>
    </row>
    <row r="542" spans="1:32" s="2" customFormat="1" ht="13.5">
      <c r="A542" s="210"/>
      <c r="B542" s="211"/>
      <c r="C542" s="211" t="s">
        <v>411</v>
      </c>
      <c r="D542" s="211"/>
      <c r="E542" s="211"/>
      <c r="F542" s="211"/>
      <c r="G542" s="1141">
        <f>LEN(C541)</f>
        <v>0</v>
      </c>
      <c r="H542" s="1141"/>
      <c r="I542" s="211" t="s">
        <v>412</v>
      </c>
      <c r="J542" s="211"/>
      <c r="K542" s="211"/>
      <c r="L542" s="211"/>
      <c r="M542" s="212" t="str">
        <f>IF('演算'!G1340="OVER","",IF(N540=0,"＃５は記入できません",IF(G542&gt;N540,"※　文字数が多過ぎます"," ")))</f>
        <v> </v>
      </c>
      <c r="N542" s="211"/>
      <c r="O542" s="211"/>
      <c r="P542" s="211"/>
      <c r="Q542" s="211"/>
      <c r="R542" s="211"/>
      <c r="S542" s="213"/>
      <c r="T542" s="213"/>
      <c r="U542" s="213"/>
      <c r="V542" s="213"/>
      <c r="W542" s="213"/>
      <c r="X542" s="213"/>
      <c r="Y542" s="213"/>
      <c r="Z542" s="213"/>
      <c r="AA542" s="213"/>
      <c r="AB542" s="213"/>
      <c r="AC542" s="213"/>
      <c r="AD542" s="218"/>
      <c r="AE542" s="241"/>
      <c r="AF542" s="5"/>
    </row>
    <row r="543" spans="1:32" s="2" customFormat="1" ht="13.5">
      <c r="A543" s="210"/>
      <c r="B543" s="211"/>
      <c r="C543" s="211"/>
      <c r="D543" s="211"/>
      <c r="E543" s="211"/>
      <c r="F543" s="211"/>
      <c r="G543" s="217"/>
      <c r="H543" s="217"/>
      <c r="I543" s="211"/>
      <c r="J543" s="211"/>
      <c r="K543" s="211"/>
      <c r="L543" s="211"/>
      <c r="M543" s="211"/>
      <c r="N543" s="211"/>
      <c r="O543" s="211"/>
      <c r="P543" s="211"/>
      <c r="Q543" s="211"/>
      <c r="R543" s="211"/>
      <c r="S543" s="213"/>
      <c r="T543" s="213"/>
      <c r="U543" s="213"/>
      <c r="V543" s="213"/>
      <c r="W543" s="213"/>
      <c r="X543" s="213"/>
      <c r="Y543" s="213"/>
      <c r="Z543" s="213"/>
      <c r="AA543" s="213"/>
      <c r="AB543" s="213"/>
      <c r="AC543" s="213"/>
      <c r="AD543" s="218"/>
      <c r="AE543" s="241"/>
      <c r="AF543" s="5"/>
    </row>
    <row r="544" spans="1:32" s="2" customFormat="1" ht="13.5">
      <c r="A544" s="210"/>
      <c r="B544" s="210"/>
      <c r="C544" s="210"/>
      <c r="D544" s="210"/>
      <c r="E544" s="210"/>
      <c r="F544" s="210"/>
      <c r="G544" s="246"/>
      <c r="H544" s="246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45"/>
      <c r="T544" s="245"/>
      <c r="U544" s="245"/>
      <c r="V544" s="245"/>
      <c r="W544" s="245"/>
      <c r="X544" s="245"/>
      <c r="Y544" s="245"/>
      <c r="Z544" s="245"/>
      <c r="AA544" s="245"/>
      <c r="AB544" s="245"/>
      <c r="AC544" s="245"/>
      <c r="AD544" s="247"/>
      <c r="AE544" s="241"/>
      <c r="AF544" s="5"/>
    </row>
    <row r="545" spans="1:32" s="2" customFormat="1" ht="13.5">
      <c r="A545" s="210"/>
      <c r="B545" s="211"/>
      <c r="C545" s="212">
        <f>IF('演算'!$G$1340="OVER","用紙の記入枠を超えているため、＃５は転記できません","")</f>
      </c>
      <c r="D545" s="211"/>
      <c r="E545" s="211"/>
      <c r="F545" s="211"/>
      <c r="G545" s="211"/>
      <c r="H545" s="211"/>
      <c r="I545" s="211"/>
      <c r="J545" s="211"/>
      <c r="K545" s="211"/>
      <c r="L545" s="211"/>
      <c r="M545" s="211"/>
      <c r="N545" s="211"/>
      <c r="O545" s="211"/>
      <c r="P545" s="211"/>
      <c r="Q545" s="211"/>
      <c r="R545" s="211"/>
      <c r="S545" s="213"/>
      <c r="T545" s="213"/>
      <c r="U545" s="213"/>
      <c r="V545" s="213"/>
      <c r="W545" s="213"/>
      <c r="X545" s="213"/>
      <c r="Y545" s="213"/>
      <c r="Z545" s="213"/>
      <c r="AA545" s="213"/>
      <c r="AB545" s="213"/>
      <c r="AC545" s="213"/>
      <c r="AD545" s="218"/>
      <c r="AE545" s="241"/>
      <c r="AF545" s="5"/>
    </row>
    <row r="546" spans="1:32" s="2" customFormat="1" ht="13.5">
      <c r="A546" s="210"/>
      <c r="B546" s="211"/>
      <c r="C546" s="211" t="s">
        <v>214</v>
      </c>
      <c r="D546" s="211"/>
      <c r="E546" s="211"/>
      <c r="F546" s="211"/>
      <c r="G546" s="211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3"/>
      <c r="T546" s="213"/>
      <c r="U546" s="1165">
        <f>'演算'!G1098</f>
        <v>1290</v>
      </c>
      <c r="V546" s="1165"/>
      <c r="W546" s="1165"/>
      <c r="X546" s="213" t="s">
        <v>413</v>
      </c>
      <c r="Y546" s="213"/>
      <c r="Z546" s="213"/>
      <c r="AA546" s="213"/>
      <c r="AB546" s="213"/>
      <c r="AC546" s="213"/>
      <c r="AD546" s="218"/>
      <c r="AE546" s="241"/>
      <c r="AF546" s="5"/>
    </row>
    <row r="547" spans="1:32" s="2" customFormat="1" ht="95.25" customHeight="1">
      <c r="A547" s="210"/>
      <c r="B547" s="211"/>
      <c r="C547" s="1166"/>
      <c r="D547" s="1167"/>
      <c r="E547" s="1167"/>
      <c r="F547" s="1167"/>
      <c r="G547" s="1167"/>
      <c r="H547" s="1167"/>
      <c r="I547" s="1167"/>
      <c r="J547" s="1167"/>
      <c r="K547" s="1167"/>
      <c r="L547" s="1167"/>
      <c r="M547" s="1167"/>
      <c r="N547" s="1167"/>
      <c r="O547" s="1167"/>
      <c r="P547" s="1167"/>
      <c r="Q547" s="1167"/>
      <c r="R547" s="1167"/>
      <c r="S547" s="1167"/>
      <c r="T547" s="1167"/>
      <c r="U547" s="1167"/>
      <c r="V547" s="1167"/>
      <c r="W547" s="1167"/>
      <c r="X547" s="1167"/>
      <c r="Y547" s="1167"/>
      <c r="Z547" s="1167"/>
      <c r="AA547" s="1167"/>
      <c r="AB547" s="1167"/>
      <c r="AC547" s="1168"/>
      <c r="AD547" s="216"/>
      <c r="AE547" s="240"/>
      <c r="AF547" s="5"/>
    </row>
    <row r="548" spans="1:32" s="2" customFormat="1" ht="13.5">
      <c r="A548" s="210"/>
      <c r="B548" s="211"/>
      <c r="C548" s="211" t="s">
        <v>411</v>
      </c>
      <c r="D548" s="211"/>
      <c r="E548" s="211"/>
      <c r="F548" s="211"/>
      <c r="G548" s="1141">
        <f>LEN(C547)</f>
        <v>0</v>
      </c>
      <c r="H548" s="1141"/>
      <c r="I548" s="211" t="s">
        <v>412</v>
      </c>
      <c r="J548" s="211"/>
      <c r="K548" s="211"/>
      <c r="L548" s="211"/>
      <c r="M548" s="212" t="str">
        <f>IF('演算'!G1340="OVER","",IF(U546=0,"＃５は記入できません",IF(G548&gt;U546,"※　文字数が多過ぎます"," ")))</f>
        <v> </v>
      </c>
      <c r="N548" s="211"/>
      <c r="O548" s="211"/>
      <c r="P548" s="211"/>
      <c r="Q548" s="211"/>
      <c r="R548" s="211"/>
      <c r="S548" s="213"/>
      <c r="T548" s="213"/>
      <c r="U548" s="213"/>
      <c r="V548" s="213"/>
      <c r="W548" s="213"/>
      <c r="X548" s="213"/>
      <c r="Y548" s="213"/>
      <c r="Z548" s="213"/>
      <c r="AA548" s="213"/>
      <c r="AB548" s="213"/>
      <c r="AC548" s="213"/>
      <c r="AD548" s="218"/>
      <c r="AE548" s="241"/>
      <c r="AF548" s="5"/>
    </row>
    <row r="549" spans="1:32" s="2" customFormat="1" ht="13.5">
      <c r="A549" s="210"/>
      <c r="B549" s="211"/>
      <c r="C549" s="211"/>
      <c r="D549" s="211"/>
      <c r="E549" s="211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3"/>
      <c r="T549" s="213"/>
      <c r="U549" s="213"/>
      <c r="V549" s="213"/>
      <c r="W549" s="213"/>
      <c r="X549" s="213"/>
      <c r="Y549" s="213"/>
      <c r="Z549" s="213"/>
      <c r="AA549" s="213"/>
      <c r="AB549" s="213"/>
      <c r="AC549" s="213"/>
      <c r="AD549" s="218"/>
      <c r="AE549" s="241"/>
      <c r="AF549" s="5"/>
    </row>
    <row r="550" spans="1:32" s="2" customFormat="1" ht="13.5">
      <c r="A550" s="210"/>
      <c r="B550" s="210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45"/>
      <c r="T550" s="245"/>
      <c r="U550" s="245"/>
      <c r="V550" s="245"/>
      <c r="W550" s="245"/>
      <c r="X550" s="245"/>
      <c r="Y550" s="245"/>
      <c r="Z550" s="245"/>
      <c r="AA550" s="245"/>
      <c r="AB550" s="245"/>
      <c r="AC550" s="245"/>
      <c r="AD550" s="247"/>
      <c r="AE550" s="241"/>
      <c r="AF550" s="5"/>
    </row>
    <row r="551" spans="1:32" s="2" customFormat="1" ht="13.5">
      <c r="A551" s="210"/>
      <c r="B551" s="211"/>
      <c r="C551" s="212">
        <f>IF('演算'!$G$1340="OVER","用紙の記入枠を超えているため、＃５は転記できません","")</f>
      </c>
      <c r="D551" s="211"/>
      <c r="E551" s="211"/>
      <c r="F551" s="211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  <c r="R551" s="211"/>
      <c r="S551" s="213"/>
      <c r="T551" s="213"/>
      <c r="U551" s="213"/>
      <c r="V551" s="213"/>
      <c r="W551" s="213"/>
      <c r="X551" s="213"/>
      <c r="Y551" s="213"/>
      <c r="Z551" s="213"/>
      <c r="AA551" s="213"/>
      <c r="AB551" s="213"/>
      <c r="AC551" s="213"/>
      <c r="AD551" s="218"/>
      <c r="AE551" s="241"/>
      <c r="AF551" s="5"/>
    </row>
    <row r="552" spans="1:32" s="2" customFormat="1" ht="13.5">
      <c r="A552" s="210"/>
      <c r="B552" s="211"/>
      <c r="C552" s="211" t="s">
        <v>215</v>
      </c>
      <c r="D552" s="211"/>
      <c r="E552" s="211"/>
      <c r="F552" s="211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3"/>
      <c r="T552" s="213"/>
      <c r="U552" s="1165">
        <f>'演算'!G1109</f>
        <v>1290</v>
      </c>
      <c r="V552" s="1165"/>
      <c r="W552" s="1165"/>
      <c r="X552" s="213" t="s">
        <v>413</v>
      </c>
      <c r="Y552" s="213"/>
      <c r="Z552" s="213"/>
      <c r="AA552" s="213"/>
      <c r="AB552" s="213"/>
      <c r="AC552" s="213"/>
      <c r="AD552" s="218"/>
      <c r="AE552" s="241"/>
      <c r="AF552" s="5"/>
    </row>
    <row r="553" spans="1:32" s="2" customFormat="1" ht="69" customHeight="1">
      <c r="A553" s="210"/>
      <c r="B553" s="211"/>
      <c r="C553" s="1166"/>
      <c r="D553" s="1167"/>
      <c r="E553" s="1167"/>
      <c r="F553" s="1167"/>
      <c r="G553" s="1167"/>
      <c r="H553" s="1167"/>
      <c r="I553" s="1167"/>
      <c r="J553" s="1167"/>
      <c r="K553" s="1167"/>
      <c r="L553" s="1167"/>
      <c r="M553" s="1167"/>
      <c r="N553" s="1167"/>
      <c r="O553" s="1167"/>
      <c r="P553" s="1167"/>
      <c r="Q553" s="1167"/>
      <c r="R553" s="1167"/>
      <c r="S553" s="1167"/>
      <c r="T553" s="1167"/>
      <c r="U553" s="1167"/>
      <c r="V553" s="1167"/>
      <c r="W553" s="1167"/>
      <c r="X553" s="1167"/>
      <c r="Y553" s="1167"/>
      <c r="Z553" s="1167"/>
      <c r="AA553" s="1167"/>
      <c r="AB553" s="1167"/>
      <c r="AC553" s="1168"/>
      <c r="AD553" s="219"/>
      <c r="AE553" s="242"/>
      <c r="AF553" s="5"/>
    </row>
    <row r="554" spans="1:32" s="2" customFormat="1" ht="13.5">
      <c r="A554" s="210"/>
      <c r="B554" s="211"/>
      <c r="C554" s="211" t="s">
        <v>425</v>
      </c>
      <c r="D554" s="211"/>
      <c r="E554" s="211"/>
      <c r="F554" s="211"/>
      <c r="G554" s="1169">
        <f>LEN(C553)</f>
        <v>0</v>
      </c>
      <c r="H554" s="1169"/>
      <c r="I554" s="211" t="s">
        <v>412</v>
      </c>
      <c r="J554" s="211"/>
      <c r="K554" s="211"/>
      <c r="L554" s="211"/>
      <c r="M554" s="212" t="str">
        <f>IF('演算'!G1340="OVER","",IF(U552=0,"＃５は記入できません",IF(G554&gt;U552,"※　文字数が多過ぎます"," ")))</f>
        <v> </v>
      </c>
      <c r="N554" s="211"/>
      <c r="O554" s="211"/>
      <c r="P554" s="211"/>
      <c r="Q554" s="211"/>
      <c r="R554" s="211"/>
      <c r="S554" s="213"/>
      <c r="T554" s="213"/>
      <c r="U554" s="213"/>
      <c r="V554" s="213"/>
      <c r="W554" s="213"/>
      <c r="X554" s="213"/>
      <c r="Y554" s="213"/>
      <c r="Z554" s="213"/>
      <c r="AA554" s="213"/>
      <c r="AB554" s="213"/>
      <c r="AC554" s="213"/>
      <c r="AD554" s="218"/>
      <c r="AE554" s="241"/>
      <c r="AF554" s="5"/>
    </row>
    <row r="555" spans="1:32" s="2" customFormat="1" ht="13.5">
      <c r="A555" s="210"/>
      <c r="B555" s="211"/>
      <c r="C555" s="211"/>
      <c r="D555" s="211"/>
      <c r="E555" s="211"/>
      <c r="F555" s="211"/>
      <c r="G555" s="220"/>
      <c r="H555" s="220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3"/>
      <c r="T555" s="213"/>
      <c r="U555" s="213"/>
      <c r="V555" s="213"/>
      <c r="W555" s="213"/>
      <c r="X555" s="213"/>
      <c r="Y555" s="213"/>
      <c r="Z555" s="213"/>
      <c r="AA555" s="213"/>
      <c r="AB555" s="213"/>
      <c r="AC555" s="213"/>
      <c r="AD555" s="218"/>
      <c r="AE555" s="241"/>
      <c r="AF555" s="5"/>
    </row>
    <row r="556" spans="1:32" s="2" customFormat="1" ht="13.5">
      <c r="A556" s="210"/>
      <c r="B556" s="210"/>
      <c r="C556" s="210"/>
      <c r="D556" s="210"/>
      <c r="E556" s="210"/>
      <c r="F556" s="210"/>
      <c r="G556" s="248"/>
      <c r="H556" s="248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45"/>
      <c r="T556" s="245"/>
      <c r="U556" s="245"/>
      <c r="V556" s="245"/>
      <c r="W556" s="245"/>
      <c r="X556" s="245"/>
      <c r="Y556" s="245"/>
      <c r="Z556" s="245"/>
      <c r="AA556" s="245"/>
      <c r="AB556" s="245"/>
      <c r="AC556" s="245"/>
      <c r="AD556" s="247"/>
      <c r="AE556" s="241"/>
      <c r="AF556" s="5"/>
    </row>
    <row r="557" spans="1:32" s="2" customFormat="1" ht="13.5">
      <c r="A557" s="210"/>
      <c r="B557" s="211"/>
      <c r="C557" s="212">
        <f>IF('演算'!$G$1340="OVER","用紙の記入枠を超えているため、＃５は転記できません","")</f>
      </c>
      <c r="D557" s="211"/>
      <c r="E557" s="211"/>
      <c r="F557" s="211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3"/>
      <c r="T557" s="213"/>
      <c r="U557" s="213"/>
      <c r="V557" s="213"/>
      <c r="W557" s="213"/>
      <c r="X557" s="213"/>
      <c r="Y557" s="213"/>
      <c r="Z557" s="213"/>
      <c r="AA557" s="213"/>
      <c r="AB557" s="213"/>
      <c r="AC557" s="213"/>
      <c r="AD557" s="218"/>
      <c r="AE557" s="241"/>
      <c r="AF557" s="5"/>
    </row>
    <row r="558" spans="1:32" s="2" customFormat="1" ht="13.5">
      <c r="A558" s="210"/>
      <c r="B558" s="211"/>
      <c r="C558" s="211" t="s">
        <v>216</v>
      </c>
      <c r="D558" s="211"/>
      <c r="E558" s="211"/>
      <c r="F558" s="211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3"/>
      <c r="T558" s="213"/>
      <c r="U558" s="213"/>
      <c r="V558" s="213"/>
      <c r="W558" s="1165">
        <f>'演算'!G1122</f>
        <v>2449</v>
      </c>
      <c r="X558" s="1165"/>
      <c r="Y558" s="1165"/>
      <c r="Z558" s="213" t="s">
        <v>414</v>
      </c>
      <c r="AA558" s="213"/>
      <c r="AB558" s="213"/>
      <c r="AC558" s="213"/>
      <c r="AD558" s="218"/>
      <c r="AE558" s="241"/>
      <c r="AF558" s="5"/>
    </row>
    <row r="559" spans="1:32" s="2" customFormat="1" ht="135.75" customHeight="1">
      <c r="A559" s="210"/>
      <c r="B559" s="211"/>
      <c r="C559" s="1166"/>
      <c r="D559" s="1167"/>
      <c r="E559" s="1167"/>
      <c r="F559" s="1167"/>
      <c r="G559" s="1167"/>
      <c r="H559" s="1167"/>
      <c r="I559" s="1167"/>
      <c r="J559" s="1167"/>
      <c r="K559" s="1167"/>
      <c r="L559" s="1167"/>
      <c r="M559" s="1167"/>
      <c r="N559" s="1167"/>
      <c r="O559" s="1167"/>
      <c r="P559" s="1167"/>
      <c r="Q559" s="1167"/>
      <c r="R559" s="1167"/>
      <c r="S559" s="1167"/>
      <c r="T559" s="1167"/>
      <c r="U559" s="1167"/>
      <c r="V559" s="1167"/>
      <c r="W559" s="1167"/>
      <c r="X559" s="1167"/>
      <c r="Y559" s="1167"/>
      <c r="Z559" s="1167"/>
      <c r="AA559" s="1167"/>
      <c r="AB559" s="1167"/>
      <c r="AC559" s="1168"/>
      <c r="AD559" s="216"/>
      <c r="AE559" s="240"/>
      <c r="AF559" s="4"/>
    </row>
    <row r="560" spans="1:31" s="2" customFormat="1" ht="13.5">
      <c r="A560" s="210"/>
      <c r="B560" s="211"/>
      <c r="C560" s="211" t="s">
        <v>424</v>
      </c>
      <c r="D560" s="211"/>
      <c r="E560" s="211"/>
      <c r="F560" s="211"/>
      <c r="G560" s="1169">
        <f>LEN(C559)</f>
        <v>0</v>
      </c>
      <c r="H560" s="1169"/>
      <c r="I560" s="211" t="s">
        <v>412</v>
      </c>
      <c r="J560" s="211"/>
      <c r="K560" s="211"/>
      <c r="L560" s="211"/>
      <c r="M560" s="212" t="str">
        <f>IF('演算'!G1340="OVER","",IF(W558=0,"＃５は記入できません",IF(G560&gt;W558,"※　文字数が多過ぎます"," ")))</f>
        <v> </v>
      </c>
      <c r="N560" s="211"/>
      <c r="O560" s="211"/>
      <c r="P560" s="211"/>
      <c r="Q560" s="211"/>
      <c r="R560" s="211"/>
      <c r="S560" s="213"/>
      <c r="T560" s="213"/>
      <c r="U560" s="213"/>
      <c r="V560" s="213"/>
      <c r="W560" s="213"/>
      <c r="X560" s="213"/>
      <c r="Y560" s="213"/>
      <c r="Z560" s="213"/>
      <c r="AA560" s="213"/>
      <c r="AB560" s="213"/>
      <c r="AC560" s="213"/>
      <c r="AD560" s="213"/>
      <c r="AE560" s="210"/>
    </row>
    <row r="561" spans="1:31" s="2" customFormat="1" ht="13.5">
      <c r="A561" s="210"/>
      <c r="B561" s="211"/>
      <c r="C561" s="211"/>
      <c r="D561" s="211"/>
      <c r="E561" s="211"/>
      <c r="F561" s="211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213"/>
      <c r="T561" s="213"/>
      <c r="U561" s="213"/>
      <c r="V561" s="213"/>
      <c r="W561" s="213"/>
      <c r="X561" s="213"/>
      <c r="Y561" s="213"/>
      <c r="Z561" s="213"/>
      <c r="AA561" s="213"/>
      <c r="AB561" s="213"/>
      <c r="AC561" s="213"/>
      <c r="AD561" s="213"/>
      <c r="AE561" s="210"/>
    </row>
    <row r="562" spans="1:31" s="2" customFormat="1" ht="13.5">
      <c r="A562" s="210"/>
      <c r="B562" s="211"/>
      <c r="C562" s="211" t="s">
        <v>217</v>
      </c>
      <c r="D562" s="211"/>
      <c r="E562" s="211"/>
      <c r="F562" s="211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2">
        <f>IF('演算'!G1340="OVER","",IF(W558=0,"＃５は記入できません",""))</f>
      </c>
      <c r="S562" s="213"/>
      <c r="T562" s="213"/>
      <c r="U562" s="213"/>
      <c r="V562" s="213"/>
      <c r="W562" s="213"/>
      <c r="X562" s="213"/>
      <c r="Y562" s="213"/>
      <c r="Z562" s="213"/>
      <c r="AA562" s="213"/>
      <c r="AB562" s="213"/>
      <c r="AC562" s="213"/>
      <c r="AD562" s="213"/>
      <c r="AE562" s="210"/>
    </row>
    <row r="563" spans="1:32" s="2" customFormat="1" ht="13.5">
      <c r="A563" s="210"/>
      <c r="B563" s="211"/>
      <c r="C563" s="1162"/>
      <c r="D563" s="1163"/>
      <c r="E563" s="1163"/>
      <c r="F563" s="1164"/>
      <c r="G563" s="221">
        <f>IF('演算'!G1340="OVER","",IF((W558+2)/'演算'!$L$32=1,"※ 担当者は１名しか記入できません",IF(LEN(C563)&gt;'演算'!$L$40,"←文字数が多過ぎます","")))</f>
      </c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19"/>
      <c r="T563" s="219"/>
      <c r="U563" s="219"/>
      <c r="V563" s="219"/>
      <c r="W563" s="219"/>
      <c r="X563" s="219"/>
      <c r="Y563" s="219"/>
      <c r="Z563" s="219"/>
      <c r="AA563" s="219"/>
      <c r="AB563" s="219"/>
      <c r="AC563" s="219"/>
      <c r="AD563" s="224"/>
      <c r="AE563" s="243"/>
      <c r="AF563" s="3"/>
    </row>
    <row r="564" spans="1:32" s="2" customFormat="1" ht="13.5">
      <c r="A564" s="210"/>
      <c r="B564" s="211"/>
      <c r="C564" s="1162"/>
      <c r="D564" s="1163"/>
      <c r="E564" s="1163"/>
      <c r="F564" s="1164"/>
      <c r="G564" s="221">
        <f>IF('演算'!G1340="OVER","",IF((W558+2)/'演算'!$L$32=2,"※ 担当者は2名しか記入できません",IF(LEN(C564)&gt;'演算'!$L$40,"←文字数が多過ぎます","")))</f>
      </c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4"/>
      <c r="T564" s="224"/>
      <c r="U564" s="224"/>
      <c r="V564" s="224"/>
      <c r="W564" s="224"/>
      <c r="X564" s="224"/>
      <c r="Y564" s="224"/>
      <c r="Z564" s="224"/>
      <c r="AA564" s="224"/>
      <c r="AB564" s="224"/>
      <c r="AC564" s="224"/>
      <c r="AD564" s="224"/>
      <c r="AE564" s="243"/>
      <c r="AF564" s="3"/>
    </row>
    <row r="565" spans="1:32" s="2" customFormat="1" ht="13.5">
      <c r="A565" s="210"/>
      <c r="B565" s="211"/>
      <c r="C565" s="1162"/>
      <c r="D565" s="1163"/>
      <c r="E565" s="1163"/>
      <c r="F565" s="1164"/>
      <c r="G565" s="221">
        <f>IF('演算'!G1340="OVER","",IF((W558+2)/'演算'!$L$32=3,"※ 担当者は3名しか記入できません",IF(LEN(C565)&gt;'演算'!$L$40,"←文字数が多過ぎます","")))</f>
      </c>
      <c r="H565" s="225"/>
      <c r="I565" s="225"/>
      <c r="J565" s="225"/>
      <c r="K565" s="225"/>
      <c r="L565" s="225"/>
      <c r="M565" s="225"/>
      <c r="N565" s="225"/>
      <c r="O565" s="225"/>
      <c r="P565" s="225"/>
      <c r="Q565" s="225"/>
      <c r="R565" s="225"/>
      <c r="S565" s="224"/>
      <c r="T565" s="224"/>
      <c r="U565" s="224"/>
      <c r="V565" s="224"/>
      <c r="W565" s="224"/>
      <c r="X565" s="224"/>
      <c r="Y565" s="224"/>
      <c r="Z565" s="224"/>
      <c r="AA565" s="224"/>
      <c r="AB565" s="224"/>
      <c r="AC565" s="224"/>
      <c r="AD565" s="224"/>
      <c r="AE565" s="243"/>
      <c r="AF565" s="3"/>
    </row>
    <row r="566" spans="1:32" s="2" customFormat="1" ht="13.5">
      <c r="A566" s="210"/>
      <c r="B566" s="211"/>
      <c r="C566" s="1162"/>
      <c r="D566" s="1163"/>
      <c r="E566" s="1163"/>
      <c r="F566" s="1164"/>
      <c r="G566" s="221">
        <f>IF('演算'!G1340="OVER","",IF('演算'!O1133="OVER","※ 担当者の人数が多過ぎます",IF(LEN(C566)&gt;'演算'!$L$40,"←文字数が多過ぎます","")))</f>
      </c>
      <c r="H566" s="221"/>
      <c r="I566" s="225"/>
      <c r="J566" s="225"/>
      <c r="K566" s="225"/>
      <c r="L566" s="225"/>
      <c r="M566" s="225"/>
      <c r="N566" s="225"/>
      <c r="O566" s="225"/>
      <c r="P566" s="225"/>
      <c r="Q566" s="225"/>
      <c r="R566" s="225"/>
      <c r="S566" s="224"/>
      <c r="T566" s="224"/>
      <c r="U566" s="224"/>
      <c r="V566" s="224"/>
      <c r="W566" s="224"/>
      <c r="X566" s="224"/>
      <c r="Y566" s="224"/>
      <c r="Z566" s="224"/>
      <c r="AA566" s="224"/>
      <c r="AB566" s="224"/>
      <c r="AC566" s="224"/>
      <c r="AD566" s="224"/>
      <c r="AE566" s="243"/>
      <c r="AF566" s="3"/>
    </row>
    <row r="567" spans="1:31" s="2" customFormat="1" ht="13.5">
      <c r="A567" s="210"/>
      <c r="B567" s="211"/>
      <c r="C567" s="211"/>
      <c r="D567" s="211"/>
      <c r="E567" s="211"/>
      <c r="F567" s="211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3"/>
      <c r="T567" s="213"/>
      <c r="U567" s="213"/>
      <c r="V567" s="213"/>
      <c r="W567" s="213"/>
      <c r="X567" s="213"/>
      <c r="Y567" s="213"/>
      <c r="Z567" s="213"/>
      <c r="AA567" s="213"/>
      <c r="AB567" s="213"/>
      <c r="AC567" s="213"/>
      <c r="AD567" s="213"/>
      <c r="AE567" s="210"/>
    </row>
    <row r="568" spans="1:31" s="2" customFormat="1" ht="13.5">
      <c r="A568" s="210"/>
      <c r="B568" s="211"/>
      <c r="C568" s="211" t="s">
        <v>218</v>
      </c>
      <c r="D568" s="211"/>
      <c r="E568" s="211"/>
      <c r="F568" s="211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2">
        <f>IF('演算'!G1340="OVER","",IF(W558=0,"＃５は記入できません",""))</f>
      </c>
      <c r="S568" s="213"/>
      <c r="T568" s="213"/>
      <c r="U568" s="213"/>
      <c r="V568" s="213"/>
      <c r="W568" s="213"/>
      <c r="X568" s="213"/>
      <c r="Y568" s="213"/>
      <c r="Z568" s="213"/>
      <c r="AA568" s="213"/>
      <c r="AB568" s="213"/>
      <c r="AC568" s="213"/>
      <c r="AD568" s="213"/>
      <c r="AE568" s="210"/>
    </row>
    <row r="569" spans="1:31" s="2" customFormat="1" ht="13.5">
      <c r="A569" s="210"/>
      <c r="B569" s="211"/>
      <c r="C569" s="1159"/>
      <c r="D569" s="1160"/>
      <c r="E569" s="1160"/>
      <c r="F569" s="1161"/>
      <c r="G569" s="212">
        <f>IF('演算'!G1340="OVER","",IF((W558+2)/'演算'!$L$32=1,"※ 頻度はひとつしか記入できません",IF(LEN(C569)&gt;'演算'!$L$49,"←文字数が多過ぎます","")))</f>
      </c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3"/>
      <c r="T569" s="213"/>
      <c r="U569" s="213"/>
      <c r="V569" s="213"/>
      <c r="W569" s="213"/>
      <c r="X569" s="213"/>
      <c r="Y569" s="213"/>
      <c r="Z569" s="213"/>
      <c r="AA569" s="213"/>
      <c r="AB569" s="213"/>
      <c r="AC569" s="213"/>
      <c r="AD569" s="213"/>
      <c r="AE569" s="210"/>
    </row>
    <row r="570" spans="1:31" s="2" customFormat="1" ht="13.5">
      <c r="A570" s="210"/>
      <c r="B570" s="211"/>
      <c r="C570" s="1159"/>
      <c r="D570" s="1160"/>
      <c r="E570" s="1160"/>
      <c r="F570" s="1161"/>
      <c r="G570" s="212">
        <f>IF('演算'!G1340="OVER","",IF('演算'!O1144="OVER","※ 頻度の記入数が多過ぎます",IF(LEN(C570)&gt;'演算'!$L$49,"←字数が多過ぎます","")))</f>
      </c>
      <c r="H570" s="22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3"/>
      <c r="T570" s="213"/>
      <c r="U570" s="213"/>
      <c r="V570" s="213"/>
      <c r="W570" s="213"/>
      <c r="X570" s="213"/>
      <c r="Y570" s="213"/>
      <c r="Z570" s="213"/>
      <c r="AA570" s="213"/>
      <c r="AB570" s="213"/>
      <c r="AC570" s="213"/>
      <c r="AD570" s="213"/>
      <c r="AE570" s="210"/>
    </row>
    <row r="571" spans="1:31" s="2" customFormat="1" ht="13.5">
      <c r="A571" s="210"/>
      <c r="B571" s="211"/>
      <c r="C571" s="211"/>
      <c r="D571" s="211"/>
      <c r="E571" s="211"/>
      <c r="F571" s="211"/>
      <c r="G571" s="211"/>
      <c r="H571" s="211"/>
      <c r="I571" s="211"/>
      <c r="J571" s="211"/>
      <c r="K571" s="211"/>
      <c r="L571" s="211"/>
      <c r="M571" s="211"/>
      <c r="N571" s="211"/>
      <c r="O571" s="211"/>
      <c r="P571" s="211"/>
      <c r="Q571" s="211"/>
      <c r="R571" s="211"/>
      <c r="S571" s="213"/>
      <c r="T571" s="213"/>
      <c r="U571" s="213"/>
      <c r="V571" s="213"/>
      <c r="W571" s="213"/>
      <c r="X571" s="213"/>
      <c r="Y571" s="213"/>
      <c r="Z571" s="213"/>
      <c r="AA571" s="213"/>
      <c r="AB571" s="213"/>
      <c r="AC571" s="213"/>
      <c r="AD571" s="213"/>
      <c r="AE571" s="210"/>
    </row>
    <row r="572" spans="1:31" s="2" customFormat="1" ht="13.5">
      <c r="A572" s="210"/>
      <c r="B572" s="211"/>
      <c r="C572" s="211" t="s">
        <v>219</v>
      </c>
      <c r="D572" s="211"/>
      <c r="E572" s="211"/>
      <c r="F572" s="211"/>
      <c r="G572" s="211"/>
      <c r="H572" s="211"/>
      <c r="I572" s="211"/>
      <c r="J572" s="211"/>
      <c r="K572" s="211"/>
      <c r="L572" s="212" t="str">
        <f>IF('演算'!G1340="OVER","",IF(W558=0,"＃５は記入できません","　"))</f>
        <v>　</v>
      </c>
      <c r="M572" s="211"/>
      <c r="N572" s="211"/>
      <c r="O572" s="211"/>
      <c r="P572" s="211"/>
      <c r="Q572" s="211"/>
      <c r="R572" s="211"/>
      <c r="S572" s="213"/>
      <c r="T572" s="213"/>
      <c r="U572" s="213"/>
      <c r="V572" s="213"/>
      <c r="W572" s="213"/>
      <c r="X572" s="213"/>
      <c r="Y572" s="213"/>
      <c r="Z572" s="213"/>
      <c r="AA572" s="213"/>
      <c r="AB572" s="213"/>
      <c r="AC572" s="213"/>
      <c r="AD572" s="213"/>
      <c r="AE572" s="210"/>
    </row>
    <row r="573" spans="1:31" s="63" customFormat="1" ht="13.5">
      <c r="A573" s="244"/>
      <c r="B573" s="226"/>
      <c r="C573" s="227" t="s">
        <v>415</v>
      </c>
      <c r="D573" s="1170"/>
      <c r="E573" s="1171"/>
      <c r="F573" s="228" t="s">
        <v>406</v>
      </c>
      <c r="G573" s="1170"/>
      <c r="H573" s="1171"/>
      <c r="I573" s="229" t="s">
        <v>409</v>
      </c>
      <c r="J573" s="1155" t="s">
        <v>497</v>
      </c>
      <c r="K573" s="1155"/>
      <c r="L573" s="1155" t="s">
        <v>416</v>
      </c>
      <c r="M573" s="1155"/>
      <c r="N573" s="1170"/>
      <c r="O573" s="1171"/>
      <c r="P573" s="226" t="s">
        <v>406</v>
      </c>
      <c r="Q573" s="1170"/>
      <c r="R573" s="1171"/>
      <c r="S573" s="230" t="s">
        <v>409</v>
      </c>
      <c r="T573" s="230"/>
      <c r="U573" s="230"/>
      <c r="V573" s="213"/>
      <c r="W573" s="213"/>
      <c r="X573" s="213"/>
      <c r="Y573" s="213"/>
      <c r="Z573" s="213"/>
      <c r="AA573" s="213"/>
      <c r="AB573" s="213"/>
      <c r="AC573" s="213"/>
      <c r="AD573" s="213"/>
      <c r="AE573" s="244"/>
    </row>
    <row r="574" spans="1:31" s="2" customFormat="1" ht="13.5">
      <c r="A574" s="210"/>
      <c r="B574" s="211"/>
      <c r="C574" s="211"/>
      <c r="D574" s="211"/>
      <c r="E574" s="211"/>
      <c r="F574" s="211"/>
      <c r="G574" s="211"/>
      <c r="H574" s="211"/>
      <c r="I574" s="211"/>
      <c r="J574" s="211"/>
      <c r="K574" s="211"/>
      <c r="L574" s="211"/>
      <c r="M574" s="211"/>
      <c r="N574" s="211"/>
      <c r="O574" s="211"/>
      <c r="P574" s="211"/>
      <c r="Q574" s="211"/>
      <c r="R574" s="211"/>
      <c r="S574" s="213"/>
      <c r="T574" s="213"/>
      <c r="U574" s="213"/>
      <c r="V574" s="213"/>
      <c r="W574" s="213"/>
      <c r="X574" s="213"/>
      <c r="Y574" s="213"/>
      <c r="Z574" s="213"/>
      <c r="AA574" s="213"/>
      <c r="AB574" s="213"/>
      <c r="AC574" s="213"/>
      <c r="AD574" s="213"/>
      <c r="AE574" s="210"/>
    </row>
    <row r="575" spans="1:31" s="2" customFormat="1" ht="13.5">
      <c r="A575" s="210"/>
      <c r="B575" s="211"/>
      <c r="C575" s="211" t="s">
        <v>220</v>
      </c>
      <c r="D575" s="211"/>
      <c r="E575" s="211"/>
      <c r="F575" s="211"/>
      <c r="G575" s="211"/>
      <c r="H575" s="211"/>
      <c r="I575" s="211"/>
      <c r="J575" s="211"/>
      <c r="K575" s="211"/>
      <c r="L575" s="211"/>
      <c r="M575" s="211"/>
      <c r="N575" s="211"/>
      <c r="O575" s="211"/>
      <c r="P575" s="211"/>
      <c r="Q575" s="211"/>
      <c r="R575" s="211"/>
      <c r="S575" s="213"/>
      <c r="T575" s="213"/>
      <c r="U575" s="213"/>
      <c r="V575" s="213"/>
      <c r="W575" s="213"/>
      <c r="X575" s="213"/>
      <c r="Y575" s="213"/>
      <c r="Z575" s="213"/>
      <c r="AA575" s="213"/>
      <c r="AB575" s="213"/>
      <c r="AC575" s="213"/>
      <c r="AD575" s="213"/>
      <c r="AE575" s="210"/>
    </row>
    <row r="576" spans="1:31" s="2" customFormat="1" ht="13.5">
      <c r="A576" s="210"/>
      <c r="B576" s="211"/>
      <c r="C576" s="55"/>
      <c r="D576" s="211"/>
      <c r="E576" s="212">
        <f>IF('演算'!G1340="OVER","",IF(W558=0,"＃５は記入できません",IF(LEN(C576)&gt;1,"※ 達成度の文字数が多過ぎます","")))</f>
      </c>
      <c r="F576" s="211"/>
      <c r="G576" s="211"/>
      <c r="H576" s="211"/>
      <c r="I576" s="211"/>
      <c r="J576" s="211"/>
      <c r="K576" s="211"/>
      <c r="L576" s="211"/>
      <c r="M576" s="211"/>
      <c r="N576" s="211"/>
      <c r="O576" s="211"/>
      <c r="P576" s="211"/>
      <c r="Q576" s="211"/>
      <c r="R576" s="211"/>
      <c r="S576" s="213"/>
      <c r="T576" s="213"/>
      <c r="U576" s="213"/>
      <c r="V576" s="213"/>
      <c r="W576" s="213"/>
      <c r="X576" s="213"/>
      <c r="Y576" s="213"/>
      <c r="Z576" s="213"/>
      <c r="AA576" s="213"/>
      <c r="AB576" s="213"/>
      <c r="AC576" s="213"/>
      <c r="AD576" s="213"/>
      <c r="AE576" s="210"/>
    </row>
    <row r="577" spans="1:31" s="2" customFormat="1" ht="13.5">
      <c r="A577" s="210"/>
      <c r="B577" s="211"/>
      <c r="C577" s="211"/>
      <c r="D577" s="211"/>
      <c r="E577" s="212"/>
      <c r="F577" s="211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3"/>
      <c r="T577" s="213"/>
      <c r="U577" s="213"/>
      <c r="V577" s="213"/>
      <c r="W577" s="213"/>
      <c r="X577" s="213"/>
      <c r="Y577" s="213"/>
      <c r="Z577" s="213"/>
      <c r="AA577" s="213"/>
      <c r="AB577" s="213"/>
      <c r="AC577" s="213"/>
      <c r="AD577" s="213"/>
      <c r="AE577" s="210"/>
    </row>
    <row r="578" spans="1:31" s="2" customFormat="1" ht="13.5">
      <c r="A578" s="210"/>
      <c r="B578" s="249"/>
      <c r="C578" s="249"/>
      <c r="D578" s="249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O578" s="249"/>
      <c r="P578" s="249"/>
      <c r="Q578" s="249"/>
      <c r="R578" s="249"/>
      <c r="S578" s="250"/>
      <c r="T578" s="250"/>
      <c r="U578" s="250"/>
      <c r="V578" s="250"/>
      <c r="W578" s="250"/>
      <c r="X578" s="250"/>
      <c r="Y578" s="250"/>
      <c r="Z578" s="250"/>
      <c r="AA578" s="250"/>
      <c r="AB578" s="250"/>
      <c r="AC578" s="250"/>
      <c r="AD578" s="250"/>
      <c r="AE578" s="210"/>
    </row>
    <row r="579" spans="1:31" s="2" customFormat="1" ht="13.5">
      <c r="A579" s="210"/>
      <c r="B579" s="211"/>
      <c r="C579" s="212">
        <f>IF('演算'!$G$1340="OVER","用紙の記入枠を超えているため、＃５は転記できません","")</f>
      </c>
      <c r="D579" s="211"/>
      <c r="E579" s="211"/>
      <c r="F579" s="211"/>
      <c r="G579" s="211"/>
      <c r="H579" s="211"/>
      <c r="I579" s="211"/>
      <c r="J579" s="211"/>
      <c r="K579" s="211"/>
      <c r="L579" s="211"/>
      <c r="M579" s="211"/>
      <c r="N579" s="211"/>
      <c r="O579" s="211"/>
      <c r="P579" s="211"/>
      <c r="Q579" s="211"/>
      <c r="R579" s="211"/>
      <c r="S579" s="213"/>
      <c r="T579" s="213"/>
      <c r="U579" s="213"/>
      <c r="V579" s="213"/>
      <c r="W579" s="213"/>
      <c r="X579" s="213"/>
      <c r="Y579" s="213"/>
      <c r="Z579" s="213"/>
      <c r="AA579" s="213"/>
      <c r="AB579" s="213"/>
      <c r="AC579" s="213"/>
      <c r="AD579" s="213"/>
      <c r="AE579" s="210"/>
    </row>
    <row r="580" spans="1:32" s="2" customFormat="1" ht="17.25">
      <c r="A580" s="210"/>
      <c r="B580" s="211"/>
      <c r="C580" s="211" t="s">
        <v>221</v>
      </c>
      <c r="D580" s="211"/>
      <c r="E580" s="211"/>
      <c r="F580" s="211"/>
      <c r="G580" s="211"/>
      <c r="H580" s="211"/>
      <c r="I580" s="211"/>
      <c r="J580" s="211"/>
      <c r="K580" s="211"/>
      <c r="L580" s="211"/>
      <c r="M580" s="211"/>
      <c r="N580" s="211"/>
      <c r="O580" s="211"/>
      <c r="P580" s="211"/>
      <c r="Q580" s="211"/>
      <c r="R580" s="211"/>
      <c r="S580" s="213"/>
      <c r="T580" s="213"/>
      <c r="U580" s="213"/>
      <c r="V580" s="213"/>
      <c r="W580" s="1165">
        <f>'演算'!G1166</f>
        <v>2449</v>
      </c>
      <c r="X580" s="1165"/>
      <c r="Y580" s="1165"/>
      <c r="Z580" s="213" t="s">
        <v>414</v>
      </c>
      <c r="AA580" s="213"/>
      <c r="AB580" s="213"/>
      <c r="AC580" s="213"/>
      <c r="AD580" s="218"/>
      <c r="AE580" s="241"/>
      <c r="AF580" s="5"/>
    </row>
    <row r="581" spans="1:32" s="2" customFormat="1" ht="94.5" customHeight="1">
      <c r="A581" s="210"/>
      <c r="B581" s="211"/>
      <c r="C581" s="1166"/>
      <c r="D581" s="1167"/>
      <c r="E581" s="1167"/>
      <c r="F581" s="1167"/>
      <c r="G581" s="1167"/>
      <c r="H581" s="1167"/>
      <c r="I581" s="1167"/>
      <c r="J581" s="1167"/>
      <c r="K581" s="1167"/>
      <c r="L581" s="1167"/>
      <c r="M581" s="1167"/>
      <c r="N581" s="1167"/>
      <c r="O581" s="1167"/>
      <c r="P581" s="1167"/>
      <c r="Q581" s="1167"/>
      <c r="R581" s="1167"/>
      <c r="S581" s="1167"/>
      <c r="T581" s="1167"/>
      <c r="U581" s="1167"/>
      <c r="V581" s="1167"/>
      <c r="W581" s="1167"/>
      <c r="X581" s="1167"/>
      <c r="Y581" s="1167"/>
      <c r="Z581" s="1167"/>
      <c r="AA581" s="1167"/>
      <c r="AB581" s="1167"/>
      <c r="AC581" s="1168"/>
      <c r="AD581" s="216"/>
      <c r="AE581" s="240"/>
      <c r="AF581" s="4"/>
    </row>
    <row r="582" spans="1:31" s="2" customFormat="1" ht="13.5">
      <c r="A582" s="210"/>
      <c r="B582" s="211"/>
      <c r="C582" s="211" t="s">
        <v>424</v>
      </c>
      <c r="D582" s="211"/>
      <c r="E582" s="211"/>
      <c r="F582" s="211"/>
      <c r="G582" s="1169">
        <f>LEN(C581)</f>
        <v>0</v>
      </c>
      <c r="H582" s="1169"/>
      <c r="I582" s="211" t="s">
        <v>412</v>
      </c>
      <c r="J582" s="211"/>
      <c r="K582" s="211"/>
      <c r="L582" s="211"/>
      <c r="M582" s="212" t="str">
        <f>IF('演算'!G1340="OVER","",IF(W580=0,"※　②は記入できません",IF(G582&gt;W580,"※　文字数が多過ぎます"," ")))</f>
        <v> </v>
      </c>
      <c r="N582" s="211"/>
      <c r="O582" s="211"/>
      <c r="P582" s="211"/>
      <c r="Q582" s="211"/>
      <c r="R582" s="211"/>
      <c r="S582" s="213"/>
      <c r="T582" s="213"/>
      <c r="U582" s="213"/>
      <c r="V582" s="213"/>
      <c r="W582" s="213"/>
      <c r="X582" s="213"/>
      <c r="Y582" s="213"/>
      <c r="Z582" s="213"/>
      <c r="AA582" s="213"/>
      <c r="AB582" s="213"/>
      <c r="AC582" s="213"/>
      <c r="AD582" s="213"/>
      <c r="AE582" s="210"/>
    </row>
    <row r="583" spans="1:31" s="2" customFormat="1" ht="13.5">
      <c r="A583" s="210"/>
      <c r="B583" s="211"/>
      <c r="C583" s="211"/>
      <c r="D583" s="211"/>
      <c r="E583" s="211"/>
      <c r="F583" s="211"/>
      <c r="G583" s="220"/>
      <c r="H583" s="220"/>
      <c r="I583" s="211"/>
      <c r="J583" s="211"/>
      <c r="K583" s="211"/>
      <c r="L583" s="211"/>
      <c r="M583" s="231"/>
      <c r="N583" s="211"/>
      <c r="O583" s="211"/>
      <c r="P583" s="211"/>
      <c r="Q583" s="211"/>
      <c r="R583" s="211"/>
      <c r="S583" s="213"/>
      <c r="T583" s="213"/>
      <c r="U583" s="213"/>
      <c r="V583" s="213"/>
      <c r="W583" s="213"/>
      <c r="X583" s="213"/>
      <c r="Y583" s="213"/>
      <c r="Z583" s="213"/>
      <c r="AA583" s="213"/>
      <c r="AB583" s="213"/>
      <c r="AC583" s="213"/>
      <c r="AD583" s="213"/>
      <c r="AE583" s="210"/>
    </row>
    <row r="584" spans="1:31" s="2" customFormat="1" ht="13.5">
      <c r="A584" s="210"/>
      <c r="B584" s="211"/>
      <c r="C584" s="211" t="s">
        <v>222</v>
      </c>
      <c r="D584" s="211"/>
      <c r="E584" s="211"/>
      <c r="F584" s="211"/>
      <c r="G584" s="211"/>
      <c r="H584" s="211"/>
      <c r="I584" s="211"/>
      <c r="J584" s="211"/>
      <c r="K584" s="211"/>
      <c r="L584" s="211"/>
      <c r="M584" s="211"/>
      <c r="N584" s="211"/>
      <c r="O584" s="211"/>
      <c r="P584" s="211"/>
      <c r="Q584" s="211"/>
      <c r="R584" s="212">
        <f>IF('演算'!G1340="OVER","",IF(W580=0,"※　②は記入できません",""))</f>
      </c>
      <c r="S584" s="213"/>
      <c r="T584" s="213"/>
      <c r="U584" s="213"/>
      <c r="V584" s="213"/>
      <c r="W584" s="213"/>
      <c r="X584" s="213"/>
      <c r="Y584" s="213"/>
      <c r="Z584" s="213"/>
      <c r="AA584" s="213"/>
      <c r="AB584" s="213"/>
      <c r="AC584" s="213"/>
      <c r="AD584" s="213"/>
      <c r="AE584" s="210"/>
    </row>
    <row r="585" spans="1:32" s="2" customFormat="1" ht="13.5">
      <c r="A585" s="210"/>
      <c r="B585" s="211"/>
      <c r="C585" s="1162"/>
      <c r="D585" s="1163"/>
      <c r="E585" s="1163"/>
      <c r="F585" s="1164"/>
      <c r="G585" s="221">
        <f>IF('演算'!G1340="OVER","",IF((W580+2)/'演算'!$L$32=1,"※ 担当者は１名しか記入できません",IF(LEN(C585)&gt;'演算'!$L$40,"←文字数が多過ぎます","")))</f>
      </c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19"/>
      <c r="T585" s="219"/>
      <c r="U585" s="219"/>
      <c r="V585" s="219"/>
      <c r="W585" s="219"/>
      <c r="X585" s="219"/>
      <c r="Y585" s="219"/>
      <c r="Z585" s="219"/>
      <c r="AA585" s="219"/>
      <c r="AB585" s="219"/>
      <c r="AC585" s="219"/>
      <c r="AD585" s="224"/>
      <c r="AE585" s="243"/>
      <c r="AF585" s="3"/>
    </row>
    <row r="586" spans="1:32" s="2" customFormat="1" ht="13.5">
      <c r="A586" s="210"/>
      <c r="B586" s="211"/>
      <c r="C586" s="1162"/>
      <c r="D586" s="1163"/>
      <c r="E586" s="1163"/>
      <c r="F586" s="1164"/>
      <c r="G586" s="221">
        <f>IF('演算'!G1340="OVER","",IF((W580+2)/'演算'!$L$32=2,"※ 担当者は2名しか記入できません",IF(LEN(C586)&gt;'演算'!$L$40,"←文字数が多過ぎます","")))</f>
      </c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4"/>
      <c r="T586" s="224"/>
      <c r="U586" s="224"/>
      <c r="V586" s="224"/>
      <c r="W586" s="224"/>
      <c r="X586" s="224"/>
      <c r="Y586" s="224"/>
      <c r="Z586" s="224"/>
      <c r="AA586" s="224"/>
      <c r="AB586" s="224"/>
      <c r="AC586" s="224"/>
      <c r="AD586" s="224"/>
      <c r="AE586" s="243"/>
      <c r="AF586" s="3"/>
    </row>
    <row r="587" spans="1:32" s="2" customFormat="1" ht="13.5">
      <c r="A587" s="210"/>
      <c r="B587" s="211"/>
      <c r="C587" s="1162"/>
      <c r="D587" s="1163"/>
      <c r="E587" s="1163"/>
      <c r="F587" s="1164"/>
      <c r="G587" s="221">
        <f>IF('演算'!G1340="OVER","",IF((W580+2)/'演算'!$L$32=3,"※ 担当者は3名しか記入できません",IF(LEN(C587)&gt;'演算'!$L$40,"←文字数が多過ぎます","")))</f>
      </c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4"/>
      <c r="T587" s="224"/>
      <c r="U587" s="224"/>
      <c r="V587" s="224"/>
      <c r="W587" s="224"/>
      <c r="X587" s="224"/>
      <c r="Y587" s="224"/>
      <c r="Z587" s="224"/>
      <c r="AA587" s="224"/>
      <c r="AB587" s="224"/>
      <c r="AC587" s="224"/>
      <c r="AD587" s="224"/>
      <c r="AE587" s="243"/>
      <c r="AF587" s="3"/>
    </row>
    <row r="588" spans="1:32" s="2" customFormat="1" ht="13.5">
      <c r="A588" s="210"/>
      <c r="B588" s="211"/>
      <c r="C588" s="1162"/>
      <c r="D588" s="1163"/>
      <c r="E588" s="1163"/>
      <c r="F588" s="1164"/>
      <c r="G588" s="221">
        <f>IF('演算'!G1340="OVER","",IF('演算'!O1177="OVER","※ 担当者の人数が多過ぎます",IF(LEN(C588)&gt;'演算'!$L$40,"←文字数が多過ぎます","")))</f>
      </c>
      <c r="H588" s="221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4"/>
      <c r="T588" s="224"/>
      <c r="U588" s="224"/>
      <c r="V588" s="224"/>
      <c r="W588" s="224"/>
      <c r="X588" s="224"/>
      <c r="Y588" s="224"/>
      <c r="Z588" s="224"/>
      <c r="AA588" s="224"/>
      <c r="AB588" s="224"/>
      <c r="AC588" s="224"/>
      <c r="AD588" s="224"/>
      <c r="AE588" s="243"/>
      <c r="AF588" s="3"/>
    </row>
    <row r="589" spans="1:31" s="2" customFormat="1" ht="13.5">
      <c r="A589" s="210"/>
      <c r="B589" s="211"/>
      <c r="C589" s="211"/>
      <c r="D589" s="211"/>
      <c r="E589" s="211"/>
      <c r="F589" s="211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3"/>
      <c r="T589" s="213"/>
      <c r="U589" s="213"/>
      <c r="V589" s="213"/>
      <c r="W589" s="213"/>
      <c r="X589" s="213"/>
      <c r="Y589" s="213"/>
      <c r="Z589" s="213"/>
      <c r="AA589" s="213"/>
      <c r="AB589" s="213"/>
      <c r="AC589" s="213"/>
      <c r="AD589" s="213"/>
      <c r="AE589" s="210"/>
    </row>
    <row r="590" spans="1:31" s="2" customFormat="1" ht="13.5">
      <c r="A590" s="210"/>
      <c r="B590" s="211"/>
      <c r="C590" s="211" t="s">
        <v>223</v>
      </c>
      <c r="D590" s="211"/>
      <c r="E590" s="211"/>
      <c r="F590" s="211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2">
        <f>IF('演算'!G1340="OVER","",IF(W580=0,"※　②は記入できません",""))</f>
      </c>
      <c r="S590" s="213"/>
      <c r="T590" s="213"/>
      <c r="U590" s="213"/>
      <c r="V590" s="213"/>
      <c r="W590" s="213"/>
      <c r="X590" s="213"/>
      <c r="Y590" s="213"/>
      <c r="Z590" s="213"/>
      <c r="AA590" s="213"/>
      <c r="AB590" s="213"/>
      <c r="AC590" s="213"/>
      <c r="AD590" s="213"/>
      <c r="AE590" s="210"/>
    </row>
    <row r="591" spans="1:31" s="2" customFormat="1" ht="13.5">
      <c r="A591" s="210"/>
      <c r="B591" s="211"/>
      <c r="C591" s="1159"/>
      <c r="D591" s="1160"/>
      <c r="E591" s="1160"/>
      <c r="F591" s="1161"/>
      <c r="G591" s="212">
        <f>IF('演算'!G1340="OVER","",IF((W580+2)/'演算'!$L$32=1,"※ 頻度はひとつしか記入できません",IF(LEN(C591)&gt;'演算'!$L$49,"←文字数が多過ぎます","")))</f>
      </c>
      <c r="H591" s="211"/>
      <c r="I591" s="211"/>
      <c r="J591" s="211"/>
      <c r="K591" s="211"/>
      <c r="L591" s="211"/>
      <c r="M591" s="211"/>
      <c r="N591" s="211"/>
      <c r="O591" s="211"/>
      <c r="P591" s="211"/>
      <c r="Q591" s="211"/>
      <c r="R591" s="211"/>
      <c r="S591" s="213"/>
      <c r="T591" s="213"/>
      <c r="U591" s="213"/>
      <c r="V591" s="213"/>
      <c r="W591" s="213"/>
      <c r="X591" s="213"/>
      <c r="Y591" s="213"/>
      <c r="Z591" s="213"/>
      <c r="AA591" s="213"/>
      <c r="AB591" s="213"/>
      <c r="AC591" s="213"/>
      <c r="AD591" s="213"/>
      <c r="AE591" s="210"/>
    </row>
    <row r="592" spans="1:31" s="2" customFormat="1" ht="13.5">
      <c r="A592" s="210"/>
      <c r="B592" s="211"/>
      <c r="C592" s="1159"/>
      <c r="D592" s="1160"/>
      <c r="E592" s="1160"/>
      <c r="F592" s="1161"/>
      <c r="G592" s="212">
        <f>IF('演算'!G1340="OVER","",IF('演算'!O1188="OVER","※ 頻度の記入数が多過ぎます",IF(LEN(C592)&gt;'演算'!$L$49,"←字数が多過ぎます","")))</f>
      </c>
      <c r="H592" s="22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3"/>
      <c r="T592" s="213"/>
      <c r="U592" s="213"/>
      <c r="V592" s="213"/>
      <c r="W592" s="213"/>
      <c r="X592" s="213"/>
      <c r="Y592" s="213"/>
      <c r="Z592" s="213"/>
      <c r="AA592" s="213"/>
      <c r="AB592" s="213"/>
      <c r="AC592" s="213"/>
      <c r="AD592" s="213"/>
      <c r="AE592" s="210"/>
    </row>
    <row r="593" spans="1:31" s="2" customFormat="1" ht="13.5">
      <c r="A593" s="210"/>
      <c r="B593" s="211"/>
      <c r="C593" s="211"/>
      <c r="D593" s="211"/>
      <c r="E593" s="211"/>
      <c r="F593" s="211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3"/>
      <c r="T593" s="213"/>
      <c r="U593" s="213"/>
      <c r="V593" s="213"/>
      <c r="W593" s="213"/>
      <c r="X593" s="213"/>
      <c r="Y593" s="213"/>
      <c r="Z593" s="213"/>
      <c r="AA593" s="213"/>
      <c r="AB593" s="213"/>
      <c r="AC593" s="213"/>
      <c r="AD593" s="213"/>
      <c r="AE593" s="210"/>
    </row>
    <row r="594" spans="1:31" s="2" customFormat="1" ht="13.5">
      <c r="A594" s="210"/>
      <c r="B594" s="211"/>
      <c r="C594" s="211" t="s">
        <v>224</v>
      </c>
      <c r="D594" s="211"/>
      <c r="E594" s="211"/>
      <c r="F594" s="211"/>
      <c r="G594" s="211"/>
      <c r="H594" s="211"/>
      <c r="I594" s="211"/>
      <c r="J594" s="211"/>
      <c r="K594" s="211"/>
      <c r="L594" s="212" t="str">
        <f>IF('演算'!G1340="OVER","",IF(W580=0,"※　②は記入できません","　"))</f>
        <v>　</v>
      </c>
      <c r="M594" s="211"/>
      <c r="N594" s="211"/>
      <c r="O594" s="211"/>
      <c r="P594" s="211"/>
      <c r="Q594" s="211"/>
      <c r="R594" s="211"/>
      <c r="S594" s="213"/>
      <c r="T594" s="213"/>
      <c r="U594" s="213"/>
      <c r="V594" s="213"/>
      <c r="W594" s="213"/>
      <c r="X594" s="213"/>
      <c r="Y594" s="213"/>
      <c r="Z594" s="213"/>
      <c r="AA594" s="213"/>
      <c r="AB594" s="213"/>
      <c r="AC594" s="213"/>
      <c r="AD594" s="213"/>
      <c r="AE594" s="210"/>
    </row>
    <row r="595" spans="1:31" s="63" customFormat="1" ht="13.5">
      <c r="A595" s="244"/>
      <c r="B595" s="226"/>
      <c r="C595" s="227" t="s">
        <v>415</v>
      </c>
      <c r="D595" s="1170"/>
      <c r="E595" s="1171"/>
      <c r="F595" s="228" t="s">
        <v>406</v>
      </c>
      <c r="G595" s="1170"/>
      <c r="H595" s="1171"/>
      <c r="I595" s="229" t="s">
        <v>409</v>
      </c>
      <c r="J595" s="1155" t="s">
        <v>497</v>
      </c>
      <c r="K595" s="1155"/>
      <c r="L595" s="1155" t="s">
        <v>416</v>
      </c>
      <c r="M595" s="1155"/>
      <c r="N595" s="1170"/>
      <c r="O595" s="1171"/>
      <c r="P595" s="226" t="s">
        <v>406</v>
      </c>
      <c r="Q595" s="1170"/>
      <c r="R595" s="1171"/>
      <c r="S595" s="230" t="s">
        <v>409</v>
      </c>
      <c r="T595" s="230"/>
      <c r="U595" s="230"/>
      <c r="V595" s="213"/>
      <c r="W595" s="213"/>
      <c r="X595" s="213"/>
      <c r="Y595" s="213"/>
      <c r="Z595" s="213"/>
      <c r="AA595" s="213"/>
      <c r="AB595" s="213"/>
      <c r="AC595" s="213"/>
      <c r="AD595" s="213"/>
      <c r="AE595" s="244"/>
    </row>
    <row r="596" spans="1:31" s="2" customFormat="1" ht="13.5">
      <c r="A596" s="210"/>
      <c r="B596" s="211"/>
      <c r="C596" s="211"/>
      <c r="D596" s="211"/>
      <c r="E596" s="211"/>
      <c r="F596" s="211"/>
      <c r="G596" s="211"/>
      <c r="H596" s="211"/>
      <c r="I596" s="211"/>
      <c r="J596" s="211"/>
      <c r="K596" s="211"/>
      <c r="L596" s="211"/>
      <c r="M596" s="211"/>
      <c r="N596" s="211"/>
      <c r="O596" s="211"/>
      <c r="P596" s="211"/>
      <c r="Q596" s="211"/>
      <c r="R596" s="211"/>
      <c r="S596" s="213"/>
      <c r="T596" s="213"/>
      <c r="U596" s="213"/>
      <c r="V596" s="213"/>
      <c r="W596" s="213"/>
      <c r="X596" s="213"/>
      <c r="Y596" s="213"/>
      <c r="Z596" s="213"/>
      <c r="AA596" s="213"/>
      <c r="AB596" s="213"/>
      <c r="AC596" s="213"/>
      <c r="AD596" s="213"/>
      <c r="AE596" s="210"/>
    </row>
    <row r="597" spans="1:31" s="2" customFormat="1" ht="13.5">
      <c r="A597" s="210"/>
      <c r="B597" s="211"/>
      <c r="C597" s="211" t="s">
        <v>225</v>
      </c>
      <c r="D597" s="211"/>
      <c r="E597" s="211"/>
      <c r="F597" s="211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3"/>
      <c r="T597" s="213"/>
      <c r="U597" s="213"/>
      <c r="V597" s="213"/>
      <c r="W597" s="213"/>
      <c r="X597" s="213"/>
      <c r="Y597" s="213"/>
      <c r="Z597" s="213"/>
      <c r="AA597" s="213"/>
      <c r="AB597" s="213"/>
      <c r="AC597" s="213"/>
      <c r="AD597" s="213"/>
      <c r="AE597" s="210"/>
    </row>
    <row r="598" spans="1:31" s="2" customFormat="1" ht="13.5">
      <c r="A598" s="210"/>
      <c r="B598" s="211"/>
      <c r="C598" s="55"/>
      <c r="D598" s="211"/>
      <c r="E598" s="212">
        <f>IF('演算'!G1340="OVER","",IF(W580=0,"※　②は記入できません",IF(LEN(C598)&gt;1,"※ 達成度の文字数が多過ぎます","")))</f>
      </c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3"/>
      <c r="T598" s="213"/>
      <c r="U598" s="213"/>
      <c r="V598" s="213"/>
      <c r="W598" s="213"/>
      <c r="X598" s="213"/>
      <c r="Y598" s="213"/>
      <c r="Z598" s="213"/>
      <c r="AA598" s="213"/>
      <c r="AB598" s="213"/>
      <c r="AC598" s="213"/>
      <c r="AD598" s="213"/>
      <c r="AE598" s="210"/>
    </row>
    <row r="599" spans="1:31" s="2" customFormat="1" ht="13.5">
      <c r="A599" s="210"/>
      <c r="B599" s="211"/>
      <c r="C599" s="211"/>
      <c r="D599" s="211"/>
      <c r="E599" s="212"/>
      <c r="F599" s="211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  <c r="R599" s="211"/>
      <c r="S599" s="213"/>
      <c r="T599" s="213"/>
      <c r="U599" s="213"/>
      <c r="V599" s="213"/>
      <c r="W599" s="213"/>
      <c r="X599" s="213"/>
      <c r="Y599" s="213"/>
      <c r="Z599" s="213"/>
      <c r="AA599" s="213"/>
      <c r="AB599" s="213"/>
      <c r="AC599" s="213"/>
      <c r="AD599" s="213"/>
      <c r="AE599" s="210"/>
    </row>
    <row r="600" spans="1:31" s="2" customFormat="1" ht="13.5">
      <c r="A600" s="210"/>
      <c r="B600" s="249"/>
      <c r="C600" s="249"/>
      <c r="D600" s="249"/>
      <c r="E600" s="249"/>
      <c r="F600" s="249"/>
      <c r="G600" s="251"/>
      <c r="H600" s="251"/>
      <c r="I600" s="249"/>
      <c r="J600" s="249"/>
      <c r="K600" s="249"/>
      <c r="L600" s="249"/>
      <c r="M600" s="252"/>
      <c r="N600" s="249"/>
      <c r="O600" s="249"/>
      <c r="P600" s="249"/>
      <c r="Q600" s="249"/>
      <c r="R600" s="249"/>
      <c r="S600" s="250"/>
      <c r="T600" s="250"/>
      <c r="U600" s="250"/>
      <c r="V600" s="250"/>
      <c r="W600" s="250"/>
      <c r="X600" s="250"/>
      <c r="Y600" s="250"/>
      <c r="Z600" s="250"/>
      <c r="AA600" s="250"/>
      <c r="AB600" s="250"/>
      <c r="AC600" s="250"/>
      <c r="AD600" s="250"/>
      <c r="AE600" s="210"/>
    </row>
    <row r="601" spans="1:31" s="2" customFormat="1" ht="13.5">
      <c r="A601" s="210"/>
      <c r="B601" s="211"/>
      <c r="C601" s="212">
        <f>IF('演算'!$G$1340="OVER","用紙の記入枠を超えているため、＃５は転記できません","")</f>
      </c>
      <c r="D601" s="211"/>
      <c r="E601" s="211"/>
      <c r="F601" s="211"/>
      <c r="G601" s="211"/>
      <c r="H601" s="211"/>
      <c r="I601" s="211"/>
      <c r="J601" s="211"/>
      <c r="K601" s="211"/>
      <c r="L601" s="211"/>
      <c r="M601" s="211"/>
      <c r="N601" s="211"/>
      <c r="O601" s="211"/>
      <c r="P601" s="211"/>
      <c r="Q601" s="211"/>
      <c r="R601" s="211"/>
      <c r="S601" s="213"/>
      <c r="T601" s="213"/>
      <c r="U601" s="213"/>
      <c r="V601" s="213"/>
      <c r="W601" s="213"/>
      <c r="X601" s="213"/>
      <c r="Y601" s="213"/>
      <c r="Z601" s="213"/>
      <c r="AA601" s="213"/>
      <c r="AB601" s="213"/>
      <c r="AC601" s="213"/>
      <c r="AD601" s="213"/>
      <c r="AE601" s="210"/>
    </row>
    <row r="602" spans="1:32" s="2" customFormat="1" ht="17.25">
      <c r="A602" s="210"/>
      <c r="B602" s="211"/>
      <c r="C602" s="211" t="s">
        <v>226</v>
      </c>
      <c r="D602" s="211"/>
      <c r="E602" s="211"/>
      <c r="F602" s="211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  <c r="R602" s="211"/>
      <c r="S602" s="213"/>
      <c r="T602" s="213"/>
      <c r="U602" s="213"/>
      <c r="V602" s="213"/>
      <c r="W602" s="1165">
        <f>'演算'!G1210</f>
        <v>2449</v>
      </c>
      <c r="X602" s="1165"/>
      <c r="Y602" s="1165"/>
      <c r="Z602" s="213" t="s">
        <v>414</v>
      </c>
      <c r="AA602" s="213"/>
      <c r="AB602" s="213"/>
      <c r="AC602" s="213"/>
      <c r="AD602" s="218"/>
      <c r="AE602" s="241"/>
      <c r="AF602" s="5"/>
    </row>
    <row r="603" spans="1:32" s="2" customFormat="1" ht="94.5" customHeight="1">
      <c r="A603" s="210"/>
      <c r="B603" s="211"/>
      <c r="C603" s="1166"/>
      <c r="D603" s="1167"/>
      <c r="E603" s="1167"/>
      <c r="F603" s="1167"/>
      <c r="G603" s="1167"/>
      <c r="H603" s="1167"/>
      <c r="I603" s="1167"/>
      <c r="J603" s="1167"/>
      <c r="K603" s="1167"/>
      <c r="L603" s="1167"/>
      <c r="M603" s="1167"/>
      <c r="N603" s="1167"/>
      <c r="O603" s="1167"/>
      <c r="P603" s="1167"/>
      <c r="Q603" s="1167"/>
      <c r="R603" s="1167"/>
      <c r="S603" s="1167"/>
      <c r="T603" s="1167"/>
      <c r="U603" s="1167"/>
      <c r="V603" s="1167"/>
      <c r="W603" s="1167"/>
      <c r="X603" s="1167"/>
      <c r="Y603" s="1167"/>
      <c r="Z603" s="1167"/>
      <c r="AA603" s="1167"/>
      <c r="AB603" s="1167"/>
      <c r="AC603" s="1168"/>
      <c r="AD603" s="216"/>
      <c r="AE603" s="240"/>
      <c r="AF603" s="4"/>
    </row>
    <row r="604" spans="1:31" s="2" customFormat="1" ht="13.5">
      <c r="A604" s="210"/>
      <c r="B604" s="211"/>
      <c r="C604" s="211" t="s">
        <v>424</v>
      </c>
      <c r="D604" s="211"/>
      <c r="E604" s="211"/>
      <c r="F604" s="211"/>
      <c r="G604" s="1169">
        <f>LEN(C603)</f>
        <v>0</v>
      </c>
      <c r="H604" s="1169"/>
      <c r="I604" s="211" t="s">
        <v>412</v>
      </c>
      <c r="J604" s="211"/>
      <c r="K604" s="211"/>
      <c r="L604" s="211"/>
      <c r="M604" s="212" t="str">
        <f>IF('演算'!G1340="OVER","",IF(W602=0,"※　③は記入できません",IF(G604&gt;W602,"※　文字数が多過ぎて転記できません"," ")))</f>
        <v> </v>
      </c>
      <c r="N604" s="211"/>
      <c r="O604" s="211"/>
      <c r="P604" s="211"/>
      <c r="Q604" s="211"/>
      <c r="R604" s="211"/>
      <c r="S604" s="213"/>
      <c r="T604" s="213"/>
      <c r="U604" s="213"/>
      <c r="V604" s="213"/>
      <c r="W604" s="213"/>
      <c r="X604" s="213"/>
      <c r="Y604" s="213"/>
      <c r="Z604" s="213"/>
      <c r="AA604" s="213"/>
      <c r="AB604" s="213"/>
      <c r="AC604" s="213"/>
      <c r="AD604" s="213"/>
      <c r="AE604" s="210"/>
    </row>
    <row r="605" spans="1:31" s="2" customFormat="1" ht="13.5">
      <c r="A605" s="210"/>
      <c r="B605" s="211"/>
      <c r="C605" s="211"/>
      <c r="D605" s="211"/>
      <c r="E605" s="211"/>
      <c r="F605" s="211"/>
      <c r="G605" s="220"/>
      <c r="H605" s="220"/>
      <c r="I605" s="211"/>
      <c r="J605" s="211"/>
      <c r="K605" s="211"/>
      <c r="L605" s="211"/>
      <c r="M605" s="212"/>
      <c r="N605" s="211"/>
      <c r="O605" s="211"/>
      <c r="P605" s="211"/>
      <c r="Q605" s="211"/>
      <c r="R605" s="211"/>
      <c r="S605" s="213"/>
      <c r="T605" s="213"/>
      <c r="U605" s="213"/>
      <c r="V605" s="213"/>
      <c r="W605" s="213"/>
      <c r="X605" s="213"/>
      <c r="Y605" s="213"/>
      <c r="Z605" s="213"/>
      <c r="AA605" s="213"/>
      <c r="AB605" s="213"/>
      <c r="AC605" s="213"/>
      <c r="AD605" s="213"/>
      <c r="AE605" s="210"/>
    </row>
    <row r="606" spans="1:31" s="2" customFormat="1" ht="13.5">
      <c r="A606" s="210"/>
      <c r="B606" s="211"/>
      <c r="C606" s="211" t="s">
        <v>227</v>
      </c>
      <c r="D606" s="211"/>
      <c r="E606" s="211"/>
      <c r="F606" s="211"/>
      <c r="G606" s="211"/>
      <c r="H606" s="211"/>
      <c r="I606" s="211"/>
      <c r="J606" s="211"/>
      <c r="K606" s="211"/>
      <c r="L606" s="211"/>
      <c r="M606" s="211"/>
      <c r="N606" s="211"/>
      <c r="O606" s="211"/>
      <c r="P606" s="211"/>
      <c r="Q606" s="211"/>
      <c r="R606" s="212">
        <f>IF('演算'!G1340="OVER","",IF(W602=0,"※　③は記入できません",""))</f>
      </c>
      <c r="S606" s="213"/>
      <c r="T606" s="213"/>
      <c r="U606" s="213"/>
      <c r="V606" s="213"/>
      <c r="W606" s="213"/>
      <c r="X606" s="213"/>
      <c r="Y606" s="213"/>
      <c r="Z606" s="213"/>
      <c r="AA606" s="213"/>
      <c r="AB606" s="213"/>
      <c r="AC606" s="213"/>
      <c r="AD606" s="213"/>
      <c r="AE606" s="210"/>
    </row>
    <row r="607" spans="1:32" s="2" customFormat="1" ht="13.5">
      <c r="A607" s="210"/>
      <c r="B607" s="211"/>
      <c r="C607" s="1162"/>
      <c r="D607" s="1163"/>
      <c r="E607" s="1163"/>
      <c r="F607" s="1164"/>
      <c r="G607" s="221">
        <f>IF('演算'!G1340="OVER","",IF((W602+2)/'演算'!$L$32=1,"※ 担当者は１名しか記入できません",IF(LEN(C607)&gt;'演算'!$L$40,"←文字数が多過ぎます","")))</f>
      </c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1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  <c r="AD607" s="224"/>
      <c r="AE607" s="243"/>
      <c r="AF607" s="3"/>
    </row>
    <row r="608" spans="1:32" s="2" customFormat="1" ht="13.5">
      <c r="A608" s="210"/>
      <c r="B608" s="211"/>
      <c r="C608" s="1162"/>
      <c r="D608" s="1163"/>
      <c r="E608" s="1163"/>
      <c r="F608" s="1164"/>
      <c r="G608" s="221">
        <f>IF('演算'!G1340="OVER","",IF((W602+2)/'演算'!$L$32=2,"※ 担当者は2名しか記入できません",IF(LEN(C608)&gt;'演算'!$L$40,"←文字数が多過ぎます","")))</f>
      </c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4"/>
      <c r="T608" s="224"/>
      <c r="U608" s="224"/>
      <c r="V608" s="224"/>
      <c r="W608" s="224"/>
      <c r="X608" s="224"/>
      <c r="Y608" s="224"/>
      <c r="Z608" s="224"/>
      <c r="AA608" s="224"/>
      <c r="AB608" s="224"/>
      <c r="AC608" s="224"/>
      <c r="AD608" s="224"/>
      <c r="AE608" s="243"/>
      <c r="AF608" s="3"/>
    </row>
    <row r="609" spans="1:32" s="2" customFormat="1" ht="13.5">
      <c r="A609" s="210"/>
      <c r="B609" s="211"/>
      <c r="C609" s="1162"/>
      <c r="D609" s="1163"/>
      <c r="E609" s="1163"/>
      <c r="F609" s="1164"/>
      <c r="G609" s="221">
        <f>IF('演算'!G1340="OVER","",IF((W602+2)/'演算'!$L$32=3,"※ 担当者は3名しか記入できません",IF(LEN(C609)&gt;'演算'!$L$40,"←文字数が多過ぎます","")))</f>
      </c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4"/>
      <c r="T609" s="224"/>
      <c r="U609" s="224"/>
      <c r="V609" s="224"/>
      <c r="W609" s="224"/>
      <c r="X609" s="224"/>
      <c r="Y609" s="224"/>
      <c r="Z609" s="224"/>
      <c r="AA609" s="224"/>
      <c r="AB609" s="224"/>
      <c r="AC609" s="224"/>
      <c r="AD609" s="224"/>
      <c r="AE609" s="243"/>
      <c r="AF609" s="3"/>
    </row>
    <row r="610" spans="1:32" s="2" customFormat="1" ht="13.5">
      <c r="A610" s="210"/>
      <c r="B610" s="211"/>
      <c r="C610" s="1162"/>
      <c r="D610" s="1163"/>
      <c r="E610" s="1163"/>
      <c r="F610" s="1164"/>
      <c r="G610" s="221">
        <f>IF('演算'!G1340="OVER","",IF('演算'!O1221="OVER","※ 担当者の人数が多過ぎます",IF(LEN(C610)&gt;'演算'!$L$40,"←文字数が多過ぎます","")))</f>
      </c>
      <c r="H610" s="221"/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4"/>
      <c r="T610" s="224"/>
      <c r="U610" s="224"/>
      <c r="V610" s="224"/>
      <c r="W610" s="224"/>
      <c r="X610" s="224"/>
      <c r="Y610" s="224"/>
      <c r="Z610" s="224"/>
      <c r="AA610" s="224"/>
      <c r="AB610" s="224"/>
      <c r="AC610" s="224"/>
      <c r="AD610" s="224"/>
      <c r="AE610" s="243"/>
      <c r="AF610" s="3"/>
    </row>
    <row r="611" spans="1:31" s="2" customFormat="1" ht="13.5">
      <c r="A611" s="210"/>
      <c r="B611" s="211"/>
      <c r="C611" s="232"/>
      <c r="D611" s="232"/>
      <c r="E611" s="232"/>
      <c r="F611" s="211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/>
      <c r="S611" s="213"/>
      <c r="T611" s="213"/>
      <c r="U611" s="213"/>
      <c r="V611" s="213"/>
      <c r="W611" s="213"/>
      <c r="X611" s="213"/>
      <c r="Y611" s="213"/>
      <c r="Z611" s="213"/>
      <c r="AA611" s="213"/>
      <c r="AB611" s="213"/>
      <c r="AC611" s="213"/>
      <c r="AD611" s="213"/>
      <c r="AE611" s="210"/>
    </row>
    <row r="612" spans="1:31" s="2" customFormat="1" ht="13.5">
      <c r="A612" s="210"/>
      <c r="B612" s="211"/>
      <c r="C612" s="232" t="s">
        <v>228</v>
      </c>
      <c r="D612" s="232"/>
      <c r="E612" s="232"/>
      <c r="F612" s="211"/>
      <c r="G612" s="211"/>
      <c r="H612" s="211"/>
      <c r="I612" s="211"/>
      <c r="J612" s="211"/>
      <c r="K612" s="211"/>
      <c r="L612" s="211"/>
      <c r="M612" s="211"/>
      <c r="N612" s="211"/>
      <c r="O612" s="211"/>
      <c r="P612" s="211"/>
      <c r="Q612" s="211"/>
      <c r="R612" s="212">
        <f>IF('演算'!G1340="OVER","",IF(W602=0,"※　③は記入できません",""))</f>
      </c>
      <c r="S612" s="213"/>
      <c r="T612" s="213"/>
      <c r="U612" s="213"/>
      <c r="V612" s="213"/>
      <c r="W612" s="213"/>
      <c r="X612" s="213"/>
      <c r="Y612" s="213"/>
      <c r="Z612" s="213"/>
      <c r="AA612" s="213"/>
      <c r="AB612" s="213"/>
      <c r="AC612" s="213"/>
      <c r="AD612" s="213"/>
      <c r="AE612" s="210"/>
    </row>
    <row r="613" spans="1:31" s="2" customFormat="1" ht="13.5">
      <c r="A613" s="210"/>
      <c r="B613" s="211"/>
      <c r="C613" s="1159"/>
      <c r="D613" s="1160"/>
      <c r="E613" s="1160"/>
      <c r="F613" s="1161"/>
      <c r="G613" s="212">
        <f>IF('演算'!G1340="OVER","",IF((W602+2)/'演算'!$L$32=1,"※ 頻度はひとつしか記入できません",IF(LEN(C613)&gt;'演算'!$L$49,"←文字数が多過ぎます","")))</f>
      </c>
      <c r="H613" s="211"/>
      <c r="I613" s="211"/>
      <c r="J613" s="211"/>
      <c r="K613" s="211"/>
      <c r="L613" s="211"/>
      <c r="M613" s="211"/>
      <c r="N613" s="211"/>
      <c r="O613" s="211"/>
      <c r="P613" s="211"/>
      <c r="Q613" s="211"/>
      <c r="R613" s="211"/>
      <c r="S613" s="213"/>
      <c r="T613" s="213"/>
      <c r="U613" s="213"/>
      <c r="V613" s="213"/>
      <c r="W613" s="213"/>
      <c r="X613" s="213"/>
      <c r="Y613" s="213"/>
      <c r="Z613" s="213"/>
      <c r="AA613" s="213"/>
      <c r="AB613" s="213"/>
      <c r="AC613" s="213"/>
      <c r="AD613" s="213"/>
      <c r="AE613" s="210"/>
    </row>
    <row r="614" spans="1:31" s="2" customFormat="1" ht="13.5">
      <c r="A614" s="210"/>
      <c r="B614" s="211"/>
      <c r="C614" s="1159"/>
      <c r="D614" s="1160"/>
      <c r="E614" s="1160"/>
      <c r="F614" s="1161"/>
      <c r="G614" s="212">
        <f>IF('演算'!G1340="OVER","",IF('演算'!O1232="OVER","※ 頻度の記入数が多過ぎます",IF(LEN(C614)&gt;'演算'!$L$49,"←字数が多過ぎます","")))</f>
      </c>
      <c r="H614" s="221"/>
      <c r="I614" s="211"/>
      <c r="J614" s="211"/>
      <c r="K614" s="211"/>
      <c r="L614" s="211"/>
      <c r="M614" s="211"/>
      <c r="N614" s="211"/>
      <c r="O614" s="211"/>
      <c r="P614" s="211"/>
      <c r="Q614" s="211"/>
      <c r="R614" s="211"/>
      <c r="S614" s="213"/>
      <c r="T614" s="213"/>
      <c r="U614" s="213"/>
      <c r="V614" s="213"/>
      <c r="W614" s="213"/>
      <c r="X614" s="213"/>
      <c r="Y614" s="213"/>
      <c r="Z614" s="213"/>
      <c r="AA614" s="213"/>
      <c r="AB614" s="213"/>
      <c r="AC614" s="213"/>
      <c r="AD614" s="213"/>
      <c r="AE614" s="210"/>
    </row>
    <row r="615" spans="1:31" s="2" customFormat="1" ht="13.5">
      <c r="A615" s="210"/>
      <c r="B615" s="211"/>
      <c r="C615" s="211"/>
      <c r="D615" s="211"/>
      <c r="E615" s="211"/>
      <c r="F615" s="211"/>
      <c r="G615" s="211"/>
      <c r="H615" s="211"/>
      <c r="I615" s="211"/>
      <c r="J615" s="211"/>
      <c r="K615" s="211"/>
      <c r="L615" s="211"/>
      <c r="M615" s="211"/>
      <c r="N615" s="211"/>
      <c r="O615" s="211"/>
      <c r="P615" s="211"/>
      <c r="Q615" s="211"/>
      <c r="R615" s="211"/>
      <c r="S615" s="213"/>
      <c r="T615" s="213"/>
      <c r="U615" s="213"/>
      <c r="V615" s="213"/>
      <c r="W615" s="213"/>
      <c r="X615" s="213"/>
      <c r="Y615" s="213"/>
      <c r="Z615" s="213"/>
      <c r="AA615" s="213"/>
      <c r="AB615" s="213"/>
      <c r="AC615" s="213"/>
      <c r="AD615" s="213"/>
      <c r="AE615" s="210"/>
    </row>
    <row r="616" spans="1:31" s="2" customFormat="1" ht="13.5">
      <c r="A616" s="210"/>
      <c r="B616" s="211"/>
      <c r="C616" s="211" t="s">
        <v>229</v>
      </c>
      <c r="D616" s="211"/>
      <c r="E616" s="211"/>
      <c r="F616" s="211"/>
      <c r="G616" s="211"/>
      <c r="H616" s="211"/>
      <c r="I616" s="211"/>
      <c r="J616" s="211"/>
      <c r="K616" s="211"/>
      <c r="L616" s="233" t="str">
        <f>IF('演算'!G1340="OVER","",IF(W602=0,"※　③は記入できません"," "))</f>
        <v> </v>
      </c>
      <c r="M616" s="211"/>
      <c r="N616" s="211"/>
      <c r="O616" s="211"/>
      <c r="P616" s="211"/>
      <c r="Q616" s="211"/>
      <c r="R616" s="211"/>
      <c r="S616" s="213"/>
      <c r="T616" s="213"/>
      <c r="U616" s="213"/>
      <c r="V616" s="213"/>
      <c r="W616" s="213"/>
      <c r="X616" s="213"/>
      <c r="Y616" s="213"/>
      <c r="Z616" s="213"/>
      <c r="AA616" s="213"/>
      <c r="AB616" s="213"/>
      <c r="AC616" s="213"/>
      <c r="AD616" s="213"/>
      <c r="AE616" s="210"/>
    </row>
    <row r="617" spans="1:31" s="177" customFormat="1" ht="13.5">
      <c r="A617" s="245"/>
      <c r="B617" s="213"/>
      <c r="C617" s="234" t="s">
        <v>415</v>
      </c>
      <c r="D617" s="1157"/>
      <c r="E617" s="1158"/>
      <c r="F617" s="235" t="s">
        <v>406</v>
      </c>
      <c r="G617" s="1157"/>
      <c r="H617" s="1158"/>
      <c r="I617" s="236" t="s">
        <v>409</v>
      </c>
      <c r="J617" s="1156" t="s">
        <v>497</v>
      </c>
      <c r="K617" s="1156"/>
      <c r="L617" s="1156" t="s">
        <v>416</v>
      </c>
      <c r="M617" s="1156"/>
      <c r="N617" s="1157"/>
      <c r="O617" s="1158"/>
      <c r="P617" s="213" t="s">
        <v>406</v>
      </c>
      <c r="Q617" s="1157"/>
      <c r="R617" s="1158"/>
      <c r="S617" s="230" t="s">
        <v>409</v>
      </c>
      <c r="T617" s="230"/>
      <c r="U617" s="230"/>
      <c r="V617" s="213"/>
      <c r="W617" s="213"/>
      <c r="X617" s="213"/>
      <c r="Y617" s="213"/>
      <c r="Z617" s="213"/>
      <c r="AA617" s="213"/>
      <c r="AB617" s="213"/>
      <c r="AC617" s="213"/>
      <c r="AD617" s="213"/>
      <c r="AE617" s="245"/>
    </row>
    <row r="618" spans="1:31" s="2" customFormat="1" ht="13.5">
      <c r="A618" s="210"/>
      <c r="B618" s="211"/>
      <c r="C618" s="211"/>
      <c r="D618" s="211"/>
      <c r="E618" s="211"/>
      <c r="F618" s="211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3"/>
      <c r="T618" s="213"/>
      <c r="U618" s="213"/>
      <c r="V618" s="213"/>
      <c r="W618" s="213"/>
      <c r="X618" s="213"/>
      <c r="Y618" s="213"/>
      <c r="Z618" s="213"/>
      <c r="AA618" s="213"/>
      <c r="AB618" s="213"/>
      <c r="AC618" s="213"/>
      <c r="AD618" s="213"/>
      <c r="AE618" s="210"/>
    </row>
    <row r="619" spans="1:31" s="2" customFormat="1" ht="13.5">
      <c r="A619" s="210"/>
      <c r="B619" s="211"/>
      <c r="C619" s="211" t="s">
        <v>230</v>
      </c>
      <c r="D619" s="211"/>
      <c r="E619" s="211"/>
      <c r="F619" s="211"/>
      <c r="G619" s="211"/>
      <c r="H619" s="211"/>
      <c r="I619" s="211"/>
      <c r="J619" s="211"/>
      <c r="K619" s="211"/>
      <c r="L619" s="211"/>
      <c r="M619" s="211"/>
      <c r="N619" s="211"/>
      <c r="O619" s="211"/>
      <c r="P619" s="211"/>
      <c r="Q619" s="211"/>
      <c r="R619" s="211"/>
      <c r="S619" s="213"/>
      <c r="T619" s="213"/>
      <c r="U619" s="213"/>
      <c r="V619" s="213"/>
      <c r="W619" s="213"/>
      <c r="X619" s="213"/>
      <c r="Y619" s="213"/>
      <c r="Z619" s="213"/>
      <c r="AA619" s="213"/>
      <c r="AB619" s="213"/>
      <c r="AC619" s="213"/>
      <c r="AD619" s="213"/>
      <c r="AE619" s="210"/>
    </row>
    <row r="620" spans="1:31" s="2" customFormat="1" ht="13.5">
      <c r="A620" s="210"/>
      <c r="B620" s="211"/>
      <c r="C620" s="55"/>
      <c r="D620" s="211"/>
      <c r="E620" s="212">
        <f>IF('演算'!G1340="OVER","",IF(W602=0,"※　③は記入できません",IF(LEN(C620)&gt;1,"※ 達成度の文字数が多過ぎます","")))</f>
      </c>
      <c r="F620" s="211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3"/>
      <c r="T620" s="213"/>
      <c r="U620" s="213"/>
      <c r="V620" s="213"/>
      <c r="W620" s="213"/>
      <c r="X620" s="213"/>
      <c r="Y620" s="213"/>
      <c r="Z620" s="213"/>
      <c r="AA620" s="213"/>
      <c r="AB620" s="213"/>
      <c r="AC620" s="213"/>
      <c r="AD620" s="213"/>
      <c r="AE620" s="210"/>
    </row>
    <row r="621" spans="1:31" s="2" customFormat="1" ht="13.5">
      <c r="A621" s="210"/>
      <c r="B621" s="211"/>
      <c r="C621" s="211"/>
      <c r="D621" s="211"/>
      <c r="E621" s="212"/>
      <c r="F621" s="211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3"/>
      <c r="T621" s="213"/>
      <c r="U621" s="213"/>
      <c r="V621" s="213"/>
      <c r="W621" s="213"/>
      <c r="X621" s="213"/>
      <c r="Y621" s="213"/>
      <c r="Z621" s="213"/>
      <c r="AA621" s="213"/>
      <c r="AB621" s="213"/>
      <c r="AC621" s="213"/>
      <c r="AD621" s="213"/>
      <c r="AE621" s="210"/>
    </row>
    <row r="622" spans="1:31" s="2" customFormat="1" ht="13.5">
      <c r="A622" s="210"/>
      <c r="B622" s="249"/>
      <c r="C622" s="249"/>
      <c r="D622" s="249"/>
      <c r="E622" s="249"/>
      <c r="F622" s="249"/>
      <c r="G622" s="251"/>
      <c r="H622" s="251"/>
      <c r="I622" s="249"/>
      <c r="J622" s="249"/>
      <c r="K622" s="249"/>
      <c r="L622" s="249"/>
      <c r="M622" s="253"/>
      <c r="N622" s="249"/>
      <c r="O622" s="249"/>
      <c r="P622" s="249"/>
      <c r="Q622" s="249"/>
      <c r="R622" s="249"/>
      <c r="S622" s="250"/>
      <c r="T622" s="250"/>
      <c r="U622" s="250"/>
      <c r="V622" s="250"/>
      <c r="W622" s="250"/>
      <c r="X622" s="250"/>
      <c r="Y622" s="250"/>
      <c r="Z622" s="250"/>
      <c r="AA622" s="250"/>
      <c r="AB622" s="250"/>
      <c r="AC622" s="250"/>
      <c r="AD622" s="250"/>
      <c r="AE622" s="210"/>
    </row>
    <row r="623" spans="1:31" s="2" customFormat="1" ht="13.5">
      <c r="A623" s="210"/>
      <c r="B623" s="211"/>
      <c r="C623" s="212">
        <f>IF('演算'!$G$1340="OVER","用紙の記入枠を超えているため、＃５は転記できません","")</f>
      </c>
      <c r="D623" s="211"/>
      <c r="E623" s="211"/>
      <c r="F623" s="211"/>
      <c r="G623" s="211"/>
      <c r="H623" s="211"/>
      <c r="I623" s="211"/>
      <c r="J623" s="211"/>
      <c r="K623" s="211"/>
      <c r="L623" s="211"/>
      <c r="M623" s="211"/>
      <c r="N623" s="211"/>
      <c r="O623" s="211"/>
      <c r="P623" s="211"/>
      <c r="Q623" s="211"/>
      <c r="R623" s="211"/>
      <c r="S623" s="213"/>
      <c r="T623" s="213"/>
      <c r="U623" s="213"/>
      <c r="V623" s="213"/>
      <c r="W623" s="213"/>
      <c r="X623" s="213"/>
      <c r="Y623" s="213"/>
      <c r="Z623" s="213"/>
      <c r="AA623" s="213"/>
      <c r="AB623" s="213"/>
      <c r="AC623" s="213"/>
      <c r="AD623" s="213"/>
      <c r="AE623" s="210"/>
    </row>
    <row r="624" spans="1:32" s="2" customFormat="1" ht="17.25">
      <c r="A624" s="210"/>
      <c r="B624" s="211"/>
      <c r="C624" s="211" t="s">
        <v>231</v>
      </c>
      <c r="D624" s="211"/>
      <c r="E624" s="211"/>
      <c r="F624" s="211"/>
      <c r="G624" s="211"/>
      <c r="H624" s="211"/>
      <c r="I624" s="211"/>
      <c r="J624" s="211"/>
      <c r="K624" s="211"/>
      <c r="L624" s="211"/>
      <c r="M624" s="211"/>
      <c r="N624" s="211"/>
      <c r="O624" s="211"/>
      <c r="P624" s="211"/>
      <c r="Q624" s="211"/>
      <c r="R624" s="211"/>
      <c r="S624" s="213"/>
      <c r="T624" s="213"/>
      <c r="U624" s="213"/>
      <c r="V624" s="213"/>
      <c r="W624" s="1165">
        <f>'演算'!G1254</f>
        <v>2449</v>
      </c>
      <c r="X624" s="1165"/>
      <c r="Y624" s="1165"/>
      <c r="Z624" s="213" t="s">
        <v>414</v>
      </c>
      <c r="AA624" s="213"/>
      <c r="AB624" s="213"/>
      <c r="AC624" s="213"/>
      <c r="AD624" s="218"/>
      <c r="AE624" s="241"/>
      <c r="AF624" s="5"/>
    </row>
    <row r="625" spans="1:32" s="2" customFormat="1" ht="94.5" customHeight="1">
      <c r="A625" s="210"/>
      <c r="B625" s="211"/>
      <c r="C625" s="1166"/>
      <c r="D625" s="1167"/>
      <c r="E625" s="1167"/>
      <c r="F625" s="1167"/>
      <c r="G625" s="1167"/>
      <c r="H625" s="1167"/>
      <c r="I625" s="1167"/>
      <c r="J625" s="1167"/>
      <c r="K625" s="1167"/>
      <c r="L625" s="1167"/>
      <c r="M625" s="1167"/>
      <c r="N625" s="1167"/>
      <c r="O625" s="1167"/>
      <c r="P625" s="1167"/>
      <c r="Q625" s="1167"/>
      <c r="R625" s="1167"/>
      <c r="S625" s="1167"/>
      <c r="T625" s="1167"/>
      <c r="U625" s="1167"/>
      <c r="V625" s="1167"/>
      <c r="W625" s="1167"/>
      <c r="X625" s="1167"/>
      <c r="Y625" s="1167"/>
      <c r="Z625" s="1167"/>
      <c r="AA625" s="1167"/>
      <c r="AB625" s="1167"/>
      <c r="AC625" s="1168"/>
      <c r="AD625" s="216"/>
      <c r="AE625" s="240"/>
      <c r="AF625" s="4"/>
    </row>
    <row r="626" spans="1:31" s="2" customFormat="1" ht="13.5">
      <c r="A626" s="210"/>
      <c r="B626" s="211"/>
      <c r="C626" s="211" t="s">
        <v>424</v>
      </c>
      <c r="D626" s="211"/>
      <c r="E626" s="211"/>
      <c r="F626" s="211"/>
      <c r="G626" s="1169">
        <f>LEN(C625)</f>
        <v>0</v>
      </c>
      <c r="H626" s="1169"/>
      <c r="I626" s="211" t="s">
        <v>412</v>
      </c>
      <c r="J626" s="211"/>
      <c r="K626" s="211"/>
      <c r="L626" s="237"/>
      <c r="M626" s="212" t="str">
        <f>IF('演算'!G1340="OVER","",IF(W624=0,"※　④は記入できません",IF(G626&gt;W624,"※　文字数が多過ぎて転記できません"," ")))</f>
        <v> </v>
      </c>
      <c r="N626" s="211"/>
      <c r="O626" s="211"/>
      <c r="P626" s="211"/>
      <c r="Q626" s="211"/>
      <c r="R626" s="211"/>
      <c r="S626" s="213"/>
      <c r="T626" s="213"/>
      <c r="U626" s="213"/>
      <c r="V626" s="213"/>
      <c r="W626" s="213"/>
      <c r="X626" s="213"/>
      <c r="Y626" s="213"/>
      <c r="Z626" s="213"/>
      <c r="AA626" s="213"/>
      <c r="AB626" s="213"/>
      <c r="AC626" s="213"/>
      <c r="AD626" s="213"/>
      <c r="AE626" s="210"/>
    </row>
    <row r="627" spans="1:31" s="2" customFormat="1" ht="13.5">
      <c r="A627" s="210"/>
      <c r="B627" s="211"/>
      <c r="C627" s="211"/>
      <c r="D627" s="211"/>
      <c r="E627" s="211"/>
      <c r="F627" s="211"/>
      <c r="G627" s="220"/>
      <c r="H627" s="220"/>
      <c r="I627" s="211"/>
      <c r="J627" s="211"/>
      <c r="K627" s="211"/>
      <c r="L627" s="211"/>
      <c r="M627" s="212"/>
      <c r="N627" s="211"/>
      <c r="O627" s="211"/>
      <c r="P627" s="211"/>
      <c r="Q627" s="211"/>
      <c r="R627" s="211"/>
      <c r="S627" s="213"/>
      <c r="T627" s="213"/>
      <c r="U627" s="213"/>
      <c r="V627" s="213"/>
      <c r="W627" s="213"/>
      <c r="X627" s="213"/>
      <c r="Y627" s="213"/>
      <c r="Z627" s="213"/>
      <c r="AA627" s="213"/>
      <c r="AB627" s="213"/>
      <c r="AC627" s="213"/>
      <c r="AD627" s="213"/>
      <c r="AE627" s="210"/>
    </row>
    <row r="628" spans="1:31" s="2" customFormat="1" ht="13.5">
      <c r="A628" s="210"/>
      <c r="B628" s="211"/>
      <c r="C628" s="211" t="s">
        <v>232</v>
      </c>
      <c r="D628" s="211"/>
      <c r="E628" s="211"/>
      <c r="F628" s="211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38" t="str">
        <f>IF('演算'!G1340="OVER","",IF($W$366=0,"※　④は記入できません","　"))</f>
        <v>　</v>
      </c>
      <c r="S628" s="213"/>
      <c r="T628" s="213"/>
      <c r="U628" s="213"/>
      <c r="V628" s="213"/>
      <c r="W628" s="213"/>
      <c r="X628" s="213"/>
      <c r="Y628" s="213"/>
      <c r="Z628" s="213"/>
      <c r="AA628" s="213"/>
      <c r="AB628" s="213"/>
      <c r="AC628" s="213"/>
      <c r="AD628" s="213"/>
      <c r="AE628" s="210"/>
    </row>
    <row r="629" spans="1:32" s="2" customFormat="1" ht="13.5">
      <c r="A629" s="210"/>
      <c r="B629" s="211"/>
      <c r="C629" s="1162"/>
      <c r="D629" s="1163"/>
      <c r="E629" s="1163"/>
      <c r="F629" s="1164"/>
      <c r="G629" s="221">
        <f>IF('演算'!G1340="OVER","",IF((W624+2)/'演算'!$L$32=1,"※ 担当者は１名しか記入できません",IF(LEN(C629)&gt;'演算'!$L$40,"←文字数が多過ぎます","")))</f>
      </c>
      <c r="H629" s="223"/>
      <c r="I629" s="223"/>
      <c r="J629" s="223"/>
      <c r="K629" s="223"/>
      <c r="L629" s="223"/>
      <c r="M629" s="223"/>
      <c r="N629" s="223"/>
      <c r="O629" s="223"/>
      <c r="P629" s="223"/>
      <c r="Q629" s="223"/>
      <c r="R629" s="221" t="str">
        <f>IF('演算'!$O$707="YES","※ サービス担当者の記入数が多過ぎます","　")</f>
        <v>　</v>
      </c>
      <c r="S629" s="21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  <c r="AD629" s="224"/>
      <c r="AE629" s="243"/>
      <c r="AF629" s="3"/>
    </row>
    <row r="630" spans="1:32" s="2" customFormat="1" ht="13.5">
      <c r="A630" s="210"/>
      <c r="B630" s="211"/>
      <c r="C630" s="1162"/>
      <c r="D630" s="1163"/>
      <c r="E630" s="1163"/>
      <c r="F630" s="1164"/>
      <c r="G630" s="221">
        <f>IF('演算'!G1340="OVER","",IF((W624+2)/'演算'!$L$32=2,"※ 担当者は2名しか記入できません",IF(LEN(C630)&gt;'演算'!$L$40,"←文字数が多過ぎます","")))</f>
      </c>
      <c r="H630" s="225"/>
      <c r="I630" s="225"/>
      <c r="J630" s="225"/>
      <c r="K630" s="225"/>
      <c r="L630" s="225"/>
      <c r="M630" s="225"/>
      <c r="N630" s="225"/>
      <c r="O630" s="225"/>
      <c r="P630" s="225"/>
      <c r="Q630" s="225"/>
      <c r="R630" s="225"/>
      <c r="S630" s="224"/>
      <c r="T630" s="224"/>
      <c r="U630" s="224"/>
      <c r="V630" s="224"/>
      <c r="W630" s="224"/>
      <c r="X630" s="224"/>
      <c r="Y630" s="224"/>
      <c r="Z630" s="224"/>
      <c r="AA630" s="224"/>
      <c r="AB630" s="224"/>
      <c r="AC630" s="224"/>
      <c r="AD630" s="224"/>
      <c r="AE630" s="243"/>
      <c r="AF630" s="3"/>
    </row>
    <row r="631" spans="1:32" s="2" customFormat="1" ht="13.5">
      <c r="A631" s="210"/>
      <c r="B631" s="211"/>
      <c r="C631" s="1162"/>
      <c r="D631" s="1163"/>
      <c r="E631" s="1163"/>
      <c r="F631" s="1164"/>
      <c r="G631" s="221">
        <f>IF('演算'!G1340="OVER","",IF((W624+2)/'演算'!$L$32=3,"※ 担当者は3名しか記入できません",IF(LEN(C631)&gt;'演算'!$L$40,"←文字数が多過ぎます","")))</f>
      </c>
      <c r="H631" s="225"/>
      <c r="I631" s="225"/>
      <c r="J631" s="225"/>
      <c r="K631" s="225"/>
      <c r="L631" s="225"/>
      <c r="M631" s="225"/>
      <c r="N631" s="225"/>
      <c r="O631" s="225"/>
      <c r="P631" s="225"/>
      <c r="Q631" s="225"/>
      <c r="R631" s="225"/>
      <c r="S631" s="224"/>
      <c r="T631" s="224"/>
      <c r="U631" s="224"/>
      <c r="V631" s="224"/>
      <c r="W631" s="224"/>
      <c r="X631" s="224"/>
      <c r="Y631" s="224"/>
      <c r="Z631" s="224"/>
      <c r="AA631" s="224"/>
      <c r="AB631" s="224"/>
      <c r="AC631" s="224"/>
      <c r="AD631" s="224"/>
      <c r="AE631" s="243"/>
      <c r="AF631" s="3"/>
    </row>
    <row r="632" spans="1:32" s="2" customFormat="1" ht="13.5">
      <c r="A632" s="210"/>
      <c r="B632" s="211"/>
      <c r="C632" s="1162"/>
      <c r="D632" s="1163"/>
      <c r="E632" s="1163"/>
      <c r="F632" s="1164"/>
      <c r="G632" s="221">
        <f>IF('演算'!G1340="OVER","",IF('演算'!O1265="OVER","※ 担当者の人数が多過ぎます",IF(LEN(C632)&gt;'演算'!$L$40,"←文字数が多過ぎます","")))</f>
      </c>
      <c r="H632" s="221"/>
      <c r="I632" s="225"/>
      <c r="J632" s="225"/>
      <c r="K632" s="225"/>
      <c r="L632" s="225"/>
      <c r="M632" s="225"/>
      <c r="N632" s="225"/>
      <c r="O632" s="225"/>
      <c r="P632" s="225"/>
      <c r="Q632" s="225"/>
      <c r="R632" s="225"/>
      <c r="S632" s="224"/>
      <c r="T632" s="224"/>
      <c r="U632" s="224"/>
      <c r="V632" s="224"/>
      <c r="W632" s="224"/>
      <c r="X632" s="224"/>
      <c r="Y632" s="224"/>
      <c r="Z632" s="224"/>
      <c r="AA632" s="224"/>
      <c r="AB632" s="224"/>
      <c r="AC632" s="224"/>
      <c r="AD632" s="224"/>
      <c r="AE632" s="243"/>
      <c r="AF632" s="3"/>
    </row>
    <row r="633" spans="1:31" s="2" customFormat="1" ht="13.5">
      <c r="A633" s="210"/>
      <c r="B633" s="211"/>
      <c r="C633" s="232"/>
      <c r="D633" s="232"/>
      <c r="E633" s="232"/>
      <c r="F633" s="211"/>
      <c r="G633" s="211"/>
      <c r="H633" s="211"/>
      <c r="I633" s="211"/>
      <c r="J633" s="211"/>
      <c r="K633" s="211"/>
      <c r="L633" s="211"/>
      <c r="M633" s="211"/>
      <c r="N633" s="211"/>
      <c r="O633" s="211"/>
      <c r="P633" s="211"/>
      <c r="Q633" s="211"/>
      <c r="R633" s="211"/>
      <c r="S633" s="213"/>
      <c r="T633" s="213"/>
      <c r="U633" s="213"/>
      <c r="V633" s="213"/>
      <c r="W633" s="213"/>
      <c r="X633" s="213"/>
      <c r="Y633" s="213"/>
      <c r="Z633" s="213"/>
      <c r="AA633" s="213"/>
      <c r="AB633" s="213"/>
      <c r="AC633" s="213"/>
      <c r="AD633" s="213"/>
      <c r="AE633" s="210"/>
    </row>
    <row r="634" spans="1:31" s="2" customFormat="1" ht="13.5">
      <c r="A634" s="210"/>
      <c r="B634" s="211"/>
      <c r="C634" s="232" t="s">
        <v>233</v>
      </c>
      <c r="D634" s="232"/>
      <c r="E634" s="232"/>
      <c r="F634" s="211"/>
      <c r="G634" s="211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21" t="str">
        <f>IF('演算'!G1340="OVER","",IF($W$366=0,"※　④は記入できません","　"))</f>
        <v>　</v>
      </c>
      <c r="S634" s="213"/>
      <c r="T634" s="213"/>
      <c r="U634" s="213"/>
      <c r="V634" s="213"/>
      <c r="W634" s="213"/>
      <c r="X634" s="213"/>
      <c r="Y634" s="213"/>
      <c r="Z634" s="213"/>
      <c r="AA634" s="213"/>
      <c r="AB634" s="213"/>
      <c r="AC634" s="213"/>
      <c r="AD634" s="213"/>
      <c r="AE634" s="210"/>
    </row>
    <row r="635" spans="1:31" s="2" customFormat="1" ht="13.5">
      <c r="A635" s="210"/>
      <c r="B635" s="211"/>
      <c r="C635" s="1159"/>
      <c r="D635" s="1160"/>
      <c r="E635" s="1160"/>
      <c r="F635" s="1161"/>
      <c r="G635" s="212">
        <f>IF('演算'!G1340="OVER","",IF((W624+2)/'演算'!$L$32=1,"※ 頻度はひとつしか記入できません",IF(LEN(C635)&gt;'演算'!$L$49,"←文字数が多過ぎます","")))</f>
      </c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21" t="str">
        <f>IF('演算'!O1281="YES","※ 頻度の記入数が多過ぎます","　")</f>
        <v>　</v>
      </c>
      <c r="S635" s="213"/>
      <c r="T635" s="213"/>
      <c r="U635" s="213"/>
      <c r="V635" s="213"/>
      <c r="W635" s="213"/>
      <c r="X635" s="213"/>
      <c r="Y635" s="213"/>
      <c r="Z635" s="213"/>
      <c r="AA635" s="213"/>
      <c r="AB635" s="213"/>
      <c r="AC635" s="213"/>
      <c r="AD635" s="213"/>
      <c r="AE635" s="210"/>
    </row>
    <row r="636" spans="1:31" s="2" customFormat="1" ht="13.5">
      <c r="A636" s="210"/>
      <c r="B636" s="211"/>
      <c r="C636" s="1159"/>
      <c r="D636" s="1160"/>
      <c r="E636" s="1160"/>
      <c r="F636" s="1161"/>
      <c r="G636" s="212">
        <f>IF('演算'!G1340="OVER","",IF('演算'!O1276="OVER","※ 頻度の記入数が多過ぎます",IF(LEN(C636)&gt;'演算'!$L$49,"←字数が多過ぎます","")))</f>
      </c>
      <c r="H636" s="22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3"/>
      <c r="T636" s="213"/>
      <c r="U636" s="213"/>
      <c r="V636" s="213"/>
      <c r="W636" s="213"/>
      <c r="X636" s="213"/>
      <c r="Y636" s="213"/>
      <c r="Z636" s="213"/>
      <c r="AA636" s="213"/>
      <c r="AB636" s="213"/>
      <c r="AC636" s="213"/>
      <c r="AD636" s="213"/>
      <c r="AE636" s="210"/>
    </row>
    <row r="637" spans="1:31" s="177" customFormat="1" ht="13.5">
      <c r="A637" s="245"/>
      <c r="B637" s="213"/>
      <c r="C637" s="213"/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  <c r="R637" s="213"/>
      <c r="S637" s="213"/>
      <c r="T637" s="213"/>
      <c r="U637" s="213"/>
      <c r="V637" s="213"/>
      <c r="W637" s="213"/>
      <c r="X637" s="213"/>
      <c r="Y637" s="213"/>
      <c r="Z637" s="213"/>
      <c r="AA637" s="213"/>
      <c r="AB637" s="213"/>
      <c r="AC637" s="213"/>
      <c r="AD637" s="213"/>
      <c r="AE637" s="245"/>
    </row>
    <row r="638" spans="1:31" s="177" customFormat="1" ht="13.5">
      <c r="A638" s="245"/>
      <c r="B638" s="213"/>
      <c r="C638" s="213" t="s">
        <v>234</v>
      </c>
      <c r="D638" s="213"/>
      <c r="E638" s="213"/>
      <c r="F638" s="213"/>
      <c r="G638" s="213"/>
      <c r="H638" s="213"/>
      <c r="I638" s="213"/>
      <c r="J638" s="213"/>
      <c r="K638" s="213"/>
      <c r="L638" s="238" t="str">
        <f>IF('演算'!G1340="OVER","",IF($W$366=0,"※　④は記入できません","　"))</f>
        <v>　</v>
      </c>
      <c r="M638" s="213"/>
      <c r="N638" s="213"/>
      <c r="O638" s="213"/>
      <c r="P638" s="213"/>
      <c r="Q638" s="213"/>
      <c r="R638" s="213"/>
      <c r="S638" s="213"/>
      <c r="T638" s="213"/>
      <c r="U638" s="213"/>
      <c r="V638" s="213"/>
      <c r="W638" s="213"/>
      <c r="X638" s="213"/>
      <c r="Y638" s="213"/>
      <c r="Z638" s="213"/>
      <c r="AA638" s="213"/>
      <c r="AB638" s="213"/>
      <c r="AC638" s="213"/>
      <c r="AD638" s="213"/>
      <c r="AE638" s="245"/>
    </row>
    <row r="639" spans="1:31" s="177" customFormat="1" ht="13.5">
      <c r="A639" s="245"/>
      <c r="B639" s="213"/>
      <c r="C639" s="234" t="s">
        <v>415</v>
      </c>
      <c r="D639" s="1157"/>
      <c r="E639" s="1158"/>
      <c r="F639" s="235" t="s">
        <v>406</v>
      </c>
      <c r="G639" s="1157"/>
      <c r="H639" s="1158"/>
      <c r="I639" s="236" t="s">
        <v>409</v>
      </c>
      <c r="J639" s="1156" t="s">
        <v>497</v>
      </c>
      <c r="K639" s="1156"/>
      <c r="L639" s="1156" t="s">
        <v>416</v>
      </c>
      <c r="M639" s="1156"/>
      <c r="N639" s="1157"/>
      <c r="O639" s="1158"/>
      <c r="P639" s="213" t="s">
        <v>406</v>
      </c>
      <c r="Q639" s="1157"/>
      <c r="R639" s="1158"/>
      <c r="S639" s="230" t="s">
        <v>409</v>
      </c>
      <c r="T639" s="230"/>
      <c r="U639" s="230"/>
      <c r="V639" s="213"/>
      <c r="W639" s="213"/>
      <c r="X639" s="213"/>
      <c r="Y639" s="213"/>
      <c r="Z639" s="213"/>
      <c r="AA639" s="213"/>
      <c r="AB639" s="213"/>
      <c r="AC639" s="213"/>
      <c r="AD639" s="213"/>
      <c r="AE639" s="245"/>
    </row>
    <row r="640" spans="1:31" s="177" customFormat="1" ht="13.5">
      <c r="A640" s="245"/>
      <c r="B640" s="213"/>
      <c r="C640" s="213"/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  <c r="R640" s="213"/>
      <c r="S640" s="213"/>
      <c r="T640" s="213"/>
      <c r="U640" s="230"/>
      <c r="V640" s="213"/>
      <c r="W640" s="213"/>
      <c r="X640" s="213"/>
      <c r="Y640" s="213"/>
      <c r="Z640" s="213"/>
      <c r="AA640" s="213"/>
      <c r="AB640" s="213"/>
      <c r="AC640" s="213"/>
      <c r="AD640" s="213"/>
      <c r="AE640" s="245"/>
    </row>
    <row r="641" spans="1:31" s="2" customFormat="1" ht="13.5">
      <c r="A641" s="210"/>
      <c r="B641" s="211"/>
      <c r="C641" s="211" t="s">
        <v>235</v>
      </c>
      <c r="D641" s="211"/>
      <c r="E641" s="211"/>
      <c r="F641" s="211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3"/>
      <c r="T641" s="213"/>
      <c r="U641" s="213"/>
      <c r="V641" s="213"/>
      <c r="W641" s="213"/>
      <c r="X641" s="213"/>
      <c r="Y641" s="213"/>
      <c r="Z641" s="213"/>
      <c r="AA641" s="213"/>
      <c r="AB641" s="213"/>
      <c r="AC641" s="213"/>
      <c r="AD641" s="213"/>
      <c r="AE641" s="210"/>
    </row>
    <row r="642" spans="1:31" s="2" customFormat="1" ht="13.5">
      <c r="A642" s="210"/>
      <c r="B642" s="211"/>
      <c r="C642" s="55"/>
      <c r="D642" s="211"/>
      <c r="E642" s="212">
        <f>IF('演算'!G1340="OVER","",IF(W624=0,"※　④は記入できません",IF(LEN(C642)&gt;1,"※ 達成度の文字数が多過ぎます","")))</f>
      </c>
      <c r="F642" s="211"/>
      <c r="G642" s="211"/>
      <c r="H642" s="211"/>
      <c r="I642" s="211"/>
      <c r="J642" s="211"/>
      <c r="K642" s="211"/>
      <c r="L642" s="211"/>
      <c r="M642" s="211"/>
      <c r="N642" s="211"/>
      <c r="O642" s="211"/>
      <c r="P642" s="211"/>
      <c r="Q642" s="211"/>
      <c r="R642" s="211"/>
      <c r="S642" s="213"/>
      <c r="T642" s="213"/>
      <c r="U642" s="213"/>
      <c r="V642" s="213"/>
      <c r="W642" s="213"/>
      <c r="X642" s="213"/>
      <c r="Y642" s="213"/>
      <c r="Z642" s="213"/>
      <c r="AA642" s="213"/>
      <c r="AB642" s="213"/>
      <c r="AC642" s="213"/>
      <c r="AD642" s="213"/>
      <c r="AE642" s="210"/>
    </row>
    <row r="643" spans="1:31" s="2" customFormat="1" ht="14.25" customHeight="1">
      <c r="A643" s="210"/>
      <c r="B643" s="211"/>
      <c r="C643" s="211"/>
      <c r="D643" s="211"/>
      <c r="E643" s="212"/>
      <c r="F643" s="211"/>
      <c r="G643" s="211"/>
      <c r="H643" s="211"/>
      <c r="I643" s="211"/>
      <c r="J643" s="211"/>
      <c r="K643" s="211"/>
      <c r="L643" s="211"/>
      <c r="M643" s="211"/>
      <c r="N643" s="211"/>
      <c r="O643" s="211"/>
      <c r="P643" s="211"/>
      <c r="Q643" s="211"/>
      <c r="R643" s="211"/>
      <c r="S643" s="213"/>
      <c r="T643" s="213"/>
      <c r="U643" s="213"/>
      <c r="V643" s="213"/>
      <c r="W643" s="213"/>
      <c r="X643" s="213"/>
      <c r="Y643" s="213"/>
      <c r="Z643" s="213"/>
      <c r="AA643" s="213"/>
      <c r="AB643" s="213"/>
      <c r="AC643" s="213"/>
      <c r="AD643" s="213"/>
      <c r="AE643" s="210"/>
    </row>
    <row r="644" spans="1:31" s="2" customFormat="1" ht="13.5">
      <c r="A644" s="210"/>
      <c r="B644" s="249"/>
      <c r="C644" s="249"/>
      <c r="D644" s="249"/>
      <c r="E644" s="249"/>
      <c r="F644" s="249"/>
      <c r="G644" s="251"/>
      <c r="H644" s="251"/>
      <c r="I644" s="249"/>
      <c r="J644" s="249"/>
      <c r="K644" s="249"/>
      <c r="L644" s="249"/>
      <c r="M644" s="253"/>
      <c r="N644" s="249"/>
      <c r="O644" s="249"/>
      <c r="P644" s="249"/>
      <c r="Q644" s="249"/>
      <c r="R644" s="249"/>
      <c r="S644" s="250"/>
      <c r="T644" s="250"/>
      <c r="U644" s="250"/>
      <c r="V644" s="250"/>
      <c r="W644" s="250"/>
      <c r="X644" s="250"/>
      <c r="Y644" s="250"/>
      <c r="Z644" s="250"/>
      <c r="AA644" s="250"/>
      <c r="AB644" s="250"/>
      <c r="AC644" s="250"/>
      <c r="AD644" s="250"/>
      <c r="AE644" s="210"/>
    </row>
    <row r="645" spans="1:31" s="2" customFormat="1" ht="13.5">
      <c r="A645" s="210"/>
      <c r="B645" s="211"/>
      <c r="C645" s="212">
        <f>IF('演算'!$G$1340="OVER","用紙の記入枠を超えているため、＃５は転記できません","")</f>
      </c>
      <c r="D645" s="211"/>
      <c r="E645" s="211"/>
      <c r="F645" s="211"/>
      <c r="G645" s="211"/>
      <c r="H645" s="211"/>
      <c r="I645" s="211"/>
      <c r="J645" s="211"/>
      <c r="K645" s="211"/>
      <c r="L645" s="211"/>
      <c r="M645" s="211"/>
      <c r="N645" s="211"/>
      <c r="O645" s="211"/>
      <c r="P645" s="211"/>
      <c r="Q645" s="211"/>
      <c r="R645" s="211"/>
      <c r="S645" s="213"/>
      <c r="T645" s="213"/>
      <c r="U645" s="213"/>
      <c r="V645" s="213"/>
      <c r="W645" s="213"/>
      <c r="X645" s="213"/>
      <c r="Y645" s="213"/>
      <c r="Z645" s="213"/>
      <c r="AA645" s="213"/>
      <c r="AB645" s="213"/>
      <c r="AC645" s="213"/>
      <c r="AD645" s="213"/>
      <c r="AE645" s="210"/>
    </row>
    <row r="646" spans="1:32" s="2" customFormat="1" ht="17.25">
      <c r="A646" s="210"/>
      <c r="B646" s="211"/>
      <c r="C646" s="211" t="s">
        <v>236</v>
      </c>
      <c r="D646" s="211"/>
      <c r="E646" s="211"/>
      <c r="F646" s="211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3"/>
      <c r="T646" s="213"/>
      <c r="U646" s="213"/>
      <c r="V646" s="213"/>
      <c r="W646" s="1165">
        <f>'演算'!G1298</f>
        <v>2449</v>
      </c>
      <c r="X646" s="1165"/>
      <c r="Y646" s="1165"/>
      <c r="Z646" s="213" t="s">
        <v>414</v>
      </c>
      <c r="AA646" s="213"/>
      <c r="AB646" s="213"/>
      <c r="AC646" s="213"/>
      <c r="AD646" s="218"/>
      <c r="AE646" s="241"/>
      <c r="AF646" s="5"/>
    </row>
    <row r="647" spans="1:32" s="2" customFormat="1" ht="94.5" customHeight="1">
      <c r="A647" s="210"/>
      <c r="B647" s="211"/>
      <c r="C647" s="1166"/>
      <c r="D647" s="1167"/>
      <c r="E647" s="1167"/>
      <c r="F647" s="1167"/>
      <c r="G647" s="1167"/>
      <c r="H647" s="1167"/>
      <c r="I647" s="1167"/>
      <c r="J647" s="1167"/>
      <c r="K647" s="1167"/>
      <c r="L647" s="1167"/>
      <c r="M647" s="1167"/>
      <c r="N647" s="1167"/>
      <c r="O647" s="1167"/>
      <c r="P647" s="1167"/>
      <c r="Q647" s="1167"/>
      <c r="R647" s="1167"/>
      <c r="S647" s="1167"/>
      <c r="T647" s="1167"/>
      <c r="U647" s="1167"/>
      <c r="V647" s="1167"/>
      <c r="W647" s="1167"/>
      <c r="X647" s="1167"/>
      <c r="Y647" s="1167"/>
      <c r="Z647" s="1167"/>
      <c r="AA647" s="1167"/>
      <c r="AB647" s="1167"/>
      <c r="AC647" s="1168"/>
      <c r="AD647" s="216"/>
      <c r="AE647" s="240"/>
      <c r="AF647" s="4"/>
    </row>
    <row r="648" spans="1:31" s="2" customFormat="1" ht="13.5">
      <c r="A648" s="210"/>
      <c r="B648" s="211"/>
      <c r="C648" s="211" t="s">
        <v>424</v>
      </c>
      <c r="D648" s="211"/>
      <c r="E648" s="211"/>
      <c r="F648" s="211"/>
      <c r="G648" s="1169">
        <f>LEN(C647)</f>
        <v>0</v>
      </c>
      <c r="H648" s="1169"/>
      <c r="I648" s="211" t="s">
        <v>412</v>
      </c>
      <c r="J648" s="211"/>
      <c r="K648" s="211"/>
      <c r="L648" s="237"/>
      <c r="M648" s="212" t="str">
        <f>IF('演算'!G1340="OVER","",IF(W646=0,"※　⑤は記入できません",IF(G648&gt;W646,"※　文字数が多過ぎて転記できません"," ")))</f>
        <v> </v>
      </c>
      <c r="N648" s="211"/>
      <c r="O648" s="211"/>
      <c r="P648" s="211"/>
      <c r="Q648" s="211"/>
      <c r="R648" s="211"/>
      <c r="S648" s="213"/>
      <c r="T648" s="213"/>
      <c r="U648" s="213"/>
      <c r="V648" s="213"/>
      <c r="W648" s="213"/>
      <c r="X648" s="213"/>
      <c r="Y648" s="213"/>
      <c r="Z648" s="213"/>
      <c r="AA648" s="213"/>
      <c r="AB648" s="213"/>
      <c r="AC648" s="213"/>
      <c r="AD648" s="213"/>
      <c r="AE648" s="210"/>
    </row>
    <row r="649" spans="1:31" s="2" customFormat="1" ht="13.5">
      <c r="A649" s="210"/>
      <c r="B649" s="211"/>
      <c r="C649" s="211"/>
      <c r="D649" s="211"/>
      <c r="E649" s="211"/>
      <c r="F649" s="211"/>
      <c r="G649" s="220"/>
      <c r="H649" s="220"/>
      <c r="I649" s="211"/>
      <c r="J649" s="211"/>
      <c r="K649" s="211"/>
      <c r="L649" s="211"/>
      <c r="M649" s="212"/>
      <c r="N649" s="211"/>
      <c r="O649" s="211"/>
      <c r="P649" s="211"/>
      <c r="Q649" s="211"/>
      <c r="R649" s="211"/>
      <c r="S649" s="213"/>
      <c r="T649" s="213"/>
      <c r="U649" s="213"/>
      <c r="V649" s="213"/>
      <c r="W649" s="213"/>
      <c r="X649" s="213"/>
      <c r="Y649" s="213"/>
      <c r="Z649" s="213"/>
      <c r="AA649" s="213"/>
      <c r="AB649" s="213"/>
      <c r="AC649" s="213"/>
      <c r="AD649" s="213"/>
      <c r="AE649" s="210"/>
    </row>
    <row r="650" spans="1:31" s="2" customFormat="1" ht="13.5">
      <c r="A650" s="210"/>
      <c r="B650" s="211"/>
      <c r="C650" s="211" t="s">
        <v>237</v>
      </c>
      <c r="D650" s="211"/>
      <c r="E650" s="211"/>
      <c r="F650" s="211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38" t="str">
        <f>IF('演算'!G1340="OVER","",IF(W646=0,"※　⑤は記入できません","　"))</f>
        <v>　</v>
      </c>
      <c r="S650" s="213"/>
      <c r="T650" s="213"/>
      <c r="U650" s="213"/>
      <c r="V650" s="213"/>
      <c r="W650" s="213"/>
      <c r="X650" s="213"/>
      <c r="Y650" s="213"/>
      <c r="Z650" s="213"/>
      <c r="AA650" s="213"/>
      <c r="AB650" s="213"/>
      <c r="AC650" s="213"/>
      <c r="AD650" s="213"/>
      <c r="AE650" s="210"/>
    </row>
    <row r="651" spans="1:32" s="2" customFormat="1" ht="13.5">
      <c r="A651" s="210"/>
      <c r="B651" s="211"/>
      <c r="C651" s="1162"/>
      <c r="D651" s="1163"/>
      <c r="E651" s="1163"/>
      <c r="F651" s="1164"/>
      <c r="G651" s="221">
        <f>IF('演算'!G1340="OVER","",IF((W646+2)/'演算'!$L$32=1,"※ 担当者は１名しか記入できません",IF(LEN(C651)&gt;'演算'!$L$40,"←文字数が多過ぎます","")))</f>
      </c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1" t="str">
        <f>IF('演算'!$O$707="YES","※ サービス担当者の記入数が多過ぎます","　")</f>
        <v>　</v>
      </c>
      <c r="S651" s="219"/>
      <c r="T651" s="219"/>
      <c r="U651" s="219"/>
      <c r="V651" s="219"/>
      <c r="W651" s="219"/>
      <c r="X651" s="219"/>
      <c r="Y651" s="219"/>
      <c r="Z651" s="219"/>
      <c r="AA651" s="219"/>
      <c r="AB651" s="219"/>
      <c r="AC651" s="219"/>
      <c r="AD651" s="224"/>
      <c r="AE651" s="243"/>
      <c r="AF651" s="3"/>
    </row>
    <row r="652" spans="1:32" s="2" customFormat="1" ht="13.5">
      <c r="A652" s="210"/>
      <c r="B652" s="211"/>
      <c r="C652" s="1162"/>
      <c r="D652" s="1163"/>
      <c r="E652" s="1163"/>
      <c r="F652" s="1164"/>
      <c r="G652" s="221">
        <f>IF('演算'!G1340="OVER","",IF((W646+2)/'演算'!$L$32=2,"※ 担当者は2名しか記入できません",IF(LEN(C652)&gt;'演算'!$L$40,"←文字数が多過ぎます","")))</f>
      </c>
      <c r="H652" s="225"/>
      <c r="I652" s="225"/>
      <c r="J652" s="225"/>
      <c r="K652" s="225"/>
      <c r="L652" s="225"/>
      <c r="M652" s="225"/>
      <c r="N652" s="225"/>
      <c r="O652" s="225"/>
      <c r="P652" s="225"/>
      <c r="Q652" s="225"/>
      <c r="R652" s="225"/>
      <c r="S652" s="224"/>
      <c r="T652" s="224"/>
      <c r="U652" s="224"/>
      <c r="V652" s="224"/>
      <c r="W652" s="224"/>
      <c r="X652" s="224"/>
      <c r="Y652" s="224"/>
      <c r="Z652" s="224"/>
      <c r="AA652" s="224"/>
      <c r="AB652" s="224"/>
      <c r="AC652" s="224"/>
      <c r="AD652" s="224"/>
      <c r="AE652" s="243"/>
      <c r="AF652" s="3"/>
    </row>
    <row r="653" spans="1:32" s="2" customFormat="1" ht="13.5">
      <c r="A653" s="210"/>
      <c r="B653" s="211"/>
      <c r="C653" s="1162"/>
      <c r="D653" s="1163"/>
      <c r="E653" s="1163"/>
      <c r="F653" s="1164"/>
      <c r="G653" s="221">
        <f>IF('演算'!G1340="OVER","",IF((W646+2)/'演算'!$L$32=3,"※ 担当者は3名しか記入できません",IF(LEN(C653)&gt;'演算'!$L$40,"←文字数が多過ぎます","")))</f>
      </c>
      <c r="H653" s="225"/>
      <c r="I653" s="225"/>
      <c r="J653" s="225"/>
      <c r="K653" s="225"/>
      <c r="L653" s="225"/>
      <c r="M653" s="225"/>
      <c r="N653" s="225"/>
      <c r="O653" s="225"/>
      <c r="P653" s="225"/>
      <c r="Q653" s="225"/>
      <c r="R653" s="225"/>
      <c r="S653" s="224"/>
      <c r="T653" s="224"/>
      <c r="U653" s="224"/>
      <c r="V653" s="224"/>
      <c r="W653" s="224"/>
      <c r="X653" s="224"/>
      <c r="Y653" s="224"/>
      <c r="Z653" s="224"/>
      <c r="AA653" s="224"/>
      <c r="AB653" s="224"/>
      <c r="AC653" s="224"/>
      <c r="AD653" s="224"/>
      <c r="AE653" s="243"/>
      <c r="AF653" s="3"/>
    </row>
    <row r="654" spans="1:32" s="2" customFormat="1" ht="13.5">
      <c r="A654" s="210"/>
      <c r="B654" s="211"/>
      <c r="C654" s="1162"/>
      <c r="D654" s="1163"/>
      <c r="E654" s="1163"/>
      <c r="F654" s="1164"/>
      <c r="G654" s="221">
        <f>IF('演算'!G1340="OVER","",IF('演算'!O1309="OVER","※ 担当者の人数が多過ぎます",IF(LEN(C654)&gt;'演算'!$L$40,"←文字数が多過ぎます","")))</f>
      </c>
      <c r="H654" s="221"/>
      <c r="I654" s="225"/>
      <c r="J654" s="225"/>
      <c r="K654" s="225"/>
      <c r="L654" s="225"/>
      <c r="M654" s="225"/>
      <c r="N654" s="225"/>
      <c r="O654" s="225"/>
      <c r="P654" s="225"/>
      <c r="Q654" s="225"/>
      <c r="R654" s="225"/>
      <c r="S654" s="224"/>
      <c r="T654" s="224"/>
      <c r="U654" s="224"/>
      <c r="V654" s="224"/>
      <c r="W654" s="224"/>
      <c r="X654" s="224"/>
      <c r="Y654" s="224"/>
      <c r="Z654" s="224"/>
      <c r="AA654" s="224"/>
      <c r="AB654" s="224"/>
      <c r="AC654" s="224"/>
      <c r="AD654" s="224"/>
      <c r="AE654" s="243"/>
      <c r="AF654" s="3"/>
    </row>
    <row r="655" spans="1:31" s="2" customFormat="1" ht="13.5">
      <c r="A655" s="210"/>
      <c r="B655" s="211"/>
      <c r="C655" s="232"/>
      <c r="D655" s="232"/>
      <c r="E655" s="232"/>
      <c r="F655" s="211"/>
      <c r="G655" s="211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  <c r="R655" s="211"/>
      <c r="S655" s="213"/>
      <c r="T655" s="213"/>
      <c r="U655" s="213"/>
      <c r="V655" s="213"/>
      <c r="W655" s="213"/>
      <c r="X655" s="213"/>
      <c r="Y655" s="213"/>
      <c r="Z655" s="213"/>
      <c r="AA655" s="213"/>
      <c r="AB655" s="213"/>
      <c r="AC655" s="213"/>
      <c r="AD655" s="213"/>
      <c r="AE655" s="210"/>
    </row>
    <row r="656" spans="1:31" s="2" customFormat="1" ht="13.5">
      <c r="A656" s="210"/>
      <c r="B656" s="211"/>
      <c r="C656" s="232" t="s">
        <v>238</v>
      </c>
      <c r="D656" s="232"/>
      <c r="E656" s="232"/>
      <c r="F656" s="211"/>
      <c r="G656" s="211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  <c r="R656" s="221" t="str">
        <f>IF('演算'!G1340="OVER","",IF(W646=0,"※　⑤は記入できません","　"))</f>
        <v>　</v>
      </c>
      <c r="S656" s="213"/>
      <c r="T656" s="213"/>
      <c r="U656" s="213"/>
      <c r="V656" s="213"/>
      <c r="W656" s="213"/>
      <c r="X656" s="213"/>
      <c r="Y656" s="213"/>
      <c r="Z656" s="213"/>
      <c r="AA656" s="213"/>
      <c r="AB656" s="213"/>
      <c r="AC656" s="213"/>
      <c r="AD656" s="213"/>
      <c r="AE656" s="210"/>
    </row>
    <row r="657" spans="1:31" s="2" customFormat="1" ht="13.5">
      <c r="A657" s="210"/>
      <c r="B657" s="211"/>
      <c r="C657" s="1159"/>
      <c r="D657" s="1160"/>
      <c r="E657" s="1160"/>
      <c r="F657" s="1161"/>
      <c r="G657" s="212">
        <f>IF('演算'!G1340="OVER","",IF((W646+2)/'演算'!$L$32=1,"※ 頻度はひとつしか記入できません",IF(LEN(C657)&gt;'演算'!$L$49,"←文字数が多過ぎます","")))</f>
      </c>
      <c r="H657" s="211"/>
      <c r="I657" s="211"/>
      <c r="J657" s="211"/>
      <c r="K657" s="211"/>
      <c r="L657" s="211"/>
      <c r="M657" s="211"/>
      <c r="N657" s="211"/>
      <c r="O657" s="211"/>
      <c r="P657" s="211"/>
      <c r="Q657" s="211"/>
      <c r="R657" s="221" t="str">
        <f>IF('演算'!O1306="YES","※ 頻度の記入数が多過ぎます","　")</f>
        <v>　</v>
      </c>
      <c r="S657" s="213"/>
      <c r="T657" s="213"/>
      <c r="U657" s="213"/>
      <c r="V657" s="213"/>
      <c r="W657" s="213"/>
      <c r="X657" s="213"/>
      <c r="Y657" s="213"/>
      <c r="Z657" s="213"/>
      <c r="AA657" s="213"/>
      <c r="AB657" s="213"/>
      <c r="AC657" s="213"/>
      <c r="AD657" s="213"/>
      <c r="AE657" s="210"/>
    </row>
    <row r="658" spans="1:31" s="2" customFormat="1" ht="13.5">
      <c r="A658" s="210"/>
      <c r="B658" s="211"/>
      <c r="C658" s="1159"/>
      <c r="D658" s="1160"/>
      <c r="E658" s="1160"/>
      <c r="F658" s="1161"/>
      <c r="G658" s="212">
        <f>IF('演算'!G1340="OVER","",IF('演算'!O1320="OVER","※ 頻度の記入数が多過ぎます",IF(LEN(C658)&gt;'演算'!$L$49,"←字数が多過ぎます","")))</f>
      </c>
      <c r="H658" s="221"/>
      <c r="I658" s="211"/>
      <c r="J658" s="211"/>
      <c r="K658" s="211"/>
      <c r="L658" s="211"/>
      <c r="M658" s="211"/>
      <c r="N658" s="211"/>
      <c r="O658" s="211"/>
      <c r="P658" s="211"/>
      <c r="Q658" s="211"/>
      <c r="R658" s="211"/>
      <c r="S658" s="213"/>
      <c r="T658" s="213"/>
      <c r="U658" s="213"/>
      <c r="V658" s="213"/>
      <c r="W658" s="213"/>
      <c r="X658" s="213"/>
      <c r="Y658" s="213"/>
      <c r="Z658" s="213"/>
      <c r="AA658" s="213"/>
      <c r="AB658" s="213"/>
      <c r="AC658" s="213"/>
      <c r="AD658" s="213"/>
      <c r="AE658" s="210"/>
    </row>
    <row r="659" spans="1:31" s="177" customFormat="1" ht="13.5">
      <c r="A659" s="245"/>
      <c r="B659" s="213"/>
      <c r="C659" s="213"/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  <c r="R659" s="213"/>
      <c r="S659" s="213"/>
      <c r="T659" s="213"/>
      <c r="U659" s="213"/>
      <c r="V659" s="213"/>
      <c r="W659" s="213"/>
      <c r="X659" s="213"/>
      <c r="Y659" s="213"/>
      <c r="Z659" s="213"/>
      <c r="AA659" s="213"/>
      <c r="AB659" s="213"/>
      <c r="AC659" s="213"/>
      <c r="AD659" s="213"/>
      <c r="AE659" s="245"/>
    </row>
    <row r="660" spans="1:31" s="177" customFormat="1" ht="13.5">
      <c r="A660" s="245"/>
      <c r="B660" s="213"/>
      <c r="C660" s="213" t="s">
        <v>239</v>
      </c>
      <c r="D660" s="213"/>
      <c r="E660" s="213"/>
      <c r="F660" s="213"/>
      <c r="G660" s="213"/>
      <c r="H660" s="213"/>
      <c r="I660" s="213"/>
      <c r="J660" s="213"/>
      <c r="K660" s="213"/>
      <c r="L660" s="238" t="str">
        <f>IF('演算'!G1340="OVER","",IF(W646=0,"※　⑤は記入できません","　"))</f>
        <v>　</v>
      </c>
      <c r="M660" s="213"/>
      <c r="N660" s="213"/>
      <c r="O660" s="213"/>
      <c r="P660" s="213"/>
      <c r="Q660" s="213"/>
      <c r="R660" s="213"/>
      <c r="S660" s="213"/>
      <c r="T660" s="213"/>
      <c r="U660" s="213"/>
      <c r="V660" s="213"/>
      <c r="W660" s="213"/>
      <c r="X660" s="213"/>
      <c r="Y660" s="213"/>
      <c r="Z660" s="213"/>
      <c r="AA660" s="213"/>
      <c r="AB660" s="213"/>
      <c r="AC660" s="213"/>
      <c r="AD660" s="213"/>
      <c r="AE660" s="245"/>
    </row>
    <row r="661" spans="1:31" s="177" customFormat="1" ht="13.5">
      <c r="A661" s="245"/>
      <c r="B661" s="213"/>
      <c r="C661" s="234" t="s">
        <v>415</v>
      </c>
      <c r="D661" s="1157"/>
      <c r="E661" s="1158"/>
      <c r="F661" s="235" t="s">
        <v>406</v>
      </c>
      <c r="G661" s="1157"/>
      <c r="H661" s="1158"/>
      <c r="I661" s="236" t="s">
        <v>409</v>
      </c>
      <c r="J661" s="1156" t="s">
        <v>497</v>
      </c>
      <c r="K661" s="1156"/>
      <c r="L661" s="1156" t="s">
        <v>416</v>
      </c>
      <c r="M661" s="1156"/>
      <c r="N661" s="1157"/>
      <c r="O661" s="1158"/>
      <c r="P661" s="213" t="s">
        <v>406</v>
      </c>
      <c r="Q661" s="1157"/>
      <c r="R661" s="1158"/>
      <c r="S661" s="230" t="s">
        <v>409</v>
      </c>
      <c r="T661" s="230"/>
      <c r="U661" s="230"/>
      <c r="V661" s="213"/>
      <c r="W661" s="213"/>
      <c r="X661" s="213"/>
      <c r="Y661" s="213"/>
      <c r="Z661" s="213"/>
      <c r="AA661" s="213"/>
      <c r="AB661" s="213"/>
      <c r="AC661" s="213"/>
      <c r="AD661" s="213"/>
      <c r="AE661" s="245"/>
    </row>
    <row r="662" spans="1:31" s="177" customFormat="1" ht="13.5">
      <c r="A662" s="245"/>
      <c r="B662" s="213"/>
      <c r="C662" s="213"/>
      <c r="D662" s="213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  <c r="R662" s="213"/>
      <c r="S662" s="213"/>
      <c r="T662" s="213"/>
      <c r="U662" s="230"/>
      <c r="V662" s="213"/>
      <c r="W662" s="213"/>
      <c r="X662" s="213"/>
      <c r="Y662" s="213"/>
      <c r="Z662" s="213"/>
      <c r="AA662" s="213"/>
      <c r="AB662" s="213"/>
      <c r="AC662" s="213"/>
      <c r="AD662" s="213"/>
      <c r="AE662" s="245"/>
    </row>
    <row r="663" spans="1:31" s="2" customFormat="1" ht="13.5">
      <c r="A663" s="210"/>
      <c r="B663" s="211"/>
      <c r="C663" s="211" t="s">
        <v>241</v>
      </c>
      <c r="D663" s="211"/>
      <c r="E663" s="211"/>
      <c r="F663" s="211"/>
      <c r="G663" s="211"/>
      <c r="H663" s="211"/>
      <c r="I663" s="211"/>
      <c r="J663" s="211"/>
      <c r="K663" s="211"/>
      <c r="L663" s="211"/>
      <c r="M663" s="211"/>
      <c r="N663" s="211"/>
      <c r="O663" s="211"/>
      <c r="P663" s="211"/>
      <c r="Q663" s="211"/>
      <c r="R663" s="211"/>
      <c r="S663" s="213"/>
      <c r="T663" s="213"/>
      <c r="U663" s="213"/>
      <c r="V663" s="213"/>
      <c r="W663" s="213"/>
      <c r="X663" s="213"/>
      <c r="Y663" s="213"/>
      <c r="Z663" s="213"/>
      <c r="AA663" s="213"/>
      <c r="AB663" s="213"/>
      <c r="AC663" s="213"/>
      <c r="AD663" s="213"/>
      <c r="AE663" s="210"/>
    </row>
    <row r="664" spans="1:31" s="2" customFormat="1" ht="13.5">
      <c r="A664" s="210"/>
      <c r="B664" s="211"/>
      <c r="C664" s="55"/>
      <c r="D664" s="211"/>
      <c r="E664" s="212">
        <f>IF('演算'!G1340="OVER","",IF(W646=0,"※　⑤は記入できません",IF(LEN(C664)&gt;1,"※ 達成度の文字数が多過ぎます","")))</f>
      </c>
      <c r="F664" s="211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3"/>
      <c r="T664" s="213"/>
      <c r="U664" s="213"/>
      <c r="V664" s="213"/>
      <c r="W664" s="213"/>
      <c r="X664" s="213"/>
      <c r="Y664" s="213"/>
      <c r="Z664" s="213"/>
      <c r="AA664" s="213"/>
      <c r="AB664" s="213"/>
      <c r="AC664" s="213"/>
      <c r="AD664" s="213"/>
      <c r="AE664" s="210"/>
    </row>
    <row r="665" spans="1:31" s="2" customFormat="1" ht="14.25" customHeight="1">
      <c r="A665" s="210"/>
      <c r="B665" s="211"/>
      <c r="C665" s="211"/>
      <c r="D665" s="211"/>
      <c r="E665" s="212"/>
      <c r="F665" s="211"/>
      <c r="G665" s="211"/>
      <c r="H665" s="211"/>
      <c r="I665" s="211"/>
      <c r="J665" s="211"/>
      <c r="K665" s="211"/>
      <c r="L665" s="211"/>
      <c r="M665" s="211"/>
      <c r="N665" s="211"/>
      <c r="O665" s="211"/>
      <c r="P665" s="211"/>
      <c r="Q665" s="211"/>
      <c r="R665" s="211"/>
      <c r="S665" s="213"/>
      <c r="T665" s="213"/>
      <c r="U665" s="213"/>
      <c r="V665" s="213"/>
      <c r="W665" s="213"/>
      <c r="X665" s="213"/>
      <c r="Y665" s="213"/>
      <c r="Z665" s="213"/>
      <c r="AA665" s="213"/>
      <c r="AB665" s="213"/>
      <c r="AC665" s="213"/>
      <c r="AD665" s="213"/>
      <c r="AE665" s="210"/>
    </row>
    <row r="666" spans="1:31" s="2" customFormat="1" ht="13.5">
      <c r="A666" s="210"/>
      <c r="B666" s="210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45"/>
      <c r="T666" s="245"/>
      <c r="U666" s="245"/>
      <c r="V666" s="245"/>
      <c r="W666" s="245"/>
      <c r="X666" s="245"/>
      <c r="Y666" s="245"/>
      <c r="Z666" s="245"/>
      <c r="AA666" s="245"/>
      <c r="AB666" s="245"/>
      <c r="AC666" s="245"/>
      <c r="AD666" s="245"/>
      <c r="AE666" s="210"/>
    </row>
    <row r="667" spans="2:30" ht="13.5">
      <c r="B667" s="115"/>
      <c r="C667" s="1151" t="s">
        <v>62</v>
      </c>
      <c r="D667" s="1151"/>
      <c r="E667" s="1151"/>
      <c r="F667" s="1151"/>
      <c r="G667" s="1151"/>
      <c r="H667" s="1151"/>
      <c r="I667" s="1151"/>
      <c r="J667" s="1151"/>
      <c r="K667" s="1151"/>
      <c r="L667" s="1151"/>
      <c r="M667" s="1151"/>
      <c r="N667" s="1151"/>
      <c r="O667" s="1151"/>
      <c r="P667" s="1151"/>
      <c r="Q667" s="1151"/>
      <c r="R667" s="1151"/>
      <c r="S667" s="1151"/>
      <c r="T667" s="1151"/>
      <c r="U667" s="1151"/>
      <c r="V667" s="1151"/>
      <c r="W667" s="1151"/>
      <c r="X667" s="1151"/>
      <c r="Y667" s="1151"/>
      <c r="Z667" s="1151"/>
      <c r="AA667" s="1151"/>
      <c r="AB667" s="1151"/>
      <c r="AC667" s="1151"/>
      <c r="AD667" s="1152"/>
    </row>
    <row r="668" spans="2:30" ht="13.5">
      <c r="B668" s="116"/>
      <c r="C668" s="1153"/>
      <c r="D668" s="1153"/>
      <c r="E668" s="1153"/>
      <c r="F668" s="1153"/>
      <c r="G668" s="1153"/>
      <c r="H668" s="1153"/>
      <c r="I668" s="1153"/>
      <c r="J668" s="1153"/>
      <c r="K668" s="1153"/>
      <c r="L668" s="1153"/>
      <c r="M668" s="1153"/>
      <c r="N668" s="1153"/>
      <c r="O668" s="1153"/>
      <c r="P668" s="1153"/>
      <c r="Q668" s="1153"/>
      <c r="R668" s="1153"/>
      <c r="S668" s="1153"/>
      <c r="T668" s="1153"/>
      <c r="U668" s="1153"/>
      <c r="V668" s="1153"/>
      <c r="W668" s="1153"/>
      <c r="X668" s="1153"/>
      <c r="Y668" s="1153"/>
      <c r="Z668" s="1153"/>
      <c r="AA668" s="1153"/>
      <c r="AB668" s="1153"/>
      <c r="AC668" s="1153"/>
      <c r="AD668" s="1154"/>
    </row>
  </sheetData>
  <sheetProtection sheet="1" objects="1" scenarios="1" selectLockedCells="1"/>
  <mergeCells count="432">
    <mergeCell ref="E9:F9"/>
    <mergeCell ref="H9:I9"/>
    <mergeCell ref="C13:K13"/>
    <mergeCell ref="Y16:Z16"/>
    <mergeCell ref="R16:T16"/>
    <mergeCell ref="L403:M403"/>
    <mergeCell ref="N403:O403"/>
    <mergeCell ref="Q403:R403"/>
    <mergeCell ref="J403:K403"/>
    <mergeCell ref="C394:F394"/>
    <mergeCell ref="C395:F395"/>
    <mergeCell ref="C396:F396"/>
    <mergeCell ref="C399:F399"/>
    <mergeCell ref="C400:F400"/>
    <mergeCell ref="D403:E403"/>
    <mergeCell ref="G403:H403"/>
    <mergeCell ref="D274:E274"/>
    <mergeCell ref="G274:H274"/>
    <mergeCell ref="J274:K274"/>
    <mergeCell ref="L274:M274"/>
    <mergeCell ref="L145:M145"/>
    <mergeCell ref="N145:O145"/>
    <mergeCell ref="Q145:R145"/>
    <mergeCell ref="C142:F142"/>
    <mergeCell ref="D145:E145"/>
    <mergeCell ref="G145:H145"/>
    <mergeCell ref="J145:K145"/>
    <mergeCell ref="C136:F136"/>
    <mergeCell ref="C137:F137"/>
    <mergeCell ref="C138:F138"/>
    <mergeCell ref="C141:F141"/>
    <mergeCell ref="W130:Y130"/>
    <mergeCell ref="C131:AC131"/>
    <mergeCell ref="G132:H132"/>
    <mergeCell ref="C135:F135"/>
    <mergeCell ref="C4:AC4"/>
    <mergeCell ref="C53:F53"/>
    <mergeCell ref="C54:F54"/>
    <mergeCell ref="C91:F91"/>
    <mergeCell ref="D57:E57"/>
    <mergeCell ref="C47:F47"/>
    <mergeCell ref="C48:F48"/>
    <mergeCell ref="C49:F49"/>
    <mergeCell ref="C50:F50"/>
    <mergeCell ref="C43:AC43"/>
    <mergeCell ref="C176:F176"/>
    <mergeCell ref="C177:F177"/>
    <mergeCell ref="C92:F92"/>
    <mergeCell ref="C71:F71"/>
    <mergeCell ref="C72:F72"/>
    <mergeCell ref="C75:F75"/>
    <mergeCell ref="C76:F76"/>
    <mergeCell ref="C87:AC87"/>
    <mergeCell ref="N101:O101"/>
    <mergeCell ref="Q101:R101"/>
    <mergeCell ref="C178:F178"/>
    <mergeCell ref="C179:F179"/>
    <mergeCell ref="C198:F198"/>
    <mergeCell ref="C199:F199"/>
    <mergeCell ref="C182:F182"/>
    <mergeCell ref="C183:F183"/>
    <mergeCell ref="D186:E186"/>
    <mergeCell ref="D208:E208"/>
    <mergeCell ref="G453:H453"/>
    <mergeCell ref="G217:H217"/>
    <mergeCell ref="C265:F265"/>
    <mergeCell ref="C266:F266"/>
    <mergeCell ref="C267:F267"/>
    <mergeCell ref="C270:F270"/>
    <mergeCell ref="C271:F271"/>
    <mergeCell ref="C260:AC260"/>
    <mergeCell ref="G261:H261"/>
    <mergeCell ref="N208:O208"/>
    <mergeCell ref="L208:M208"/>
    <mergeCell ref="N186:O186"/>
    <mergeCell ref="Q186:R186"/>
    <mergeCell ref="N444:O444"/>
    <mergeCell ref="Q444:R444"/>
    <mergeCell ref="C216:AC216"/>
    <mergeCell ref="G324:H324"/>
    <mergeCell ref="C327:F327"/>
    <mergeCell ref="C311:F311"/>
    <mergeCell ref="W259:Y259"/>
    <mergeCell ref="C264:F264"/>
    <mergeCell ref="N274:O274"/>
    <mergeCell ref="Q274:R274"/>
    <mergeCell ref="C500:F500"/>
    <mergeCell ref="C501:F501"/>
    <mergeCell ref="D510:E510"/>
    <mergeCell ref="G510:H510"/>
    <mergeCell ref="G466:H466"/>
    <mergeCell ref="J466:K466"/>
    <mergeCell ref="L466:M466"/>
    <mergeCell ref="D444:E444"/>
    <mergeCell ref="G444:H444"/>
    <mergeCell ref="J444:K444"/>
    <mergeCell ref="L444:M444"/>
    <mergeCell ref="D466:E466"/>
    <mergeCell ref="C305:F305"/>
    <mergeCell ref="C306:F306"/>
    <mergeCell ref="C308:F308"/>
    <mergeCell ref="C283:AC283"/>
    <mergeCell ref="G284:H284"/>
    <mergeCell ref="U294:W294"/>
    <mergeCell ref="C295:AC295"/>
    <mergeCell ref="G296:H296"/>
    <mergeCell ref="G290:H290"/>
    <mergeCell ref="C312:F312"/>
    <mergeCell ref="C307:F307"/>
    <mergeCell ref="W237:Y237"/>
    <mergeCell ref="C245:F245"/>
    <mergeCell ref="C248:F248"/>
    <mergeCell ref="C289:AC289"/>
    <mergeCell ref="C301:AC301"/>
    <mergeCell ref="G302:H302"/>
    <mergeCell ref="U288:W288"/>
    <mergeCell ref="C249:F249"/>
    <mergeCell ref="G230:H230"/>
    <mergeCell ref="J230:K230"/>
    <mergeCell ref="C244:F244"/>
    <mergeCell ref="G239:H239"/>
    <mergeCell ref="C242:F242"/>
    <mergeCell ref="C243:F243"/>
    <mergeCell ref="C238:AC238"/>
    <mergeCell ref="U159:W159"/>
    <mergeCell ref="C154:AC154"/>
    <mergeCell ref="G155:H155"/>
    <mergeCell ref="D230:E230"/>
    <mergeCell ref="C220:F220"/>
    <mergeCell ref="C221:F221"/>
    <mergeCell ref="C222:F222"/>
    <mergeCell ref="C223:F223"/>
    <mergeCell ref="C226:F226"/>
    <mergeCell ref="C227:F227"/>
    <mergeCell ref="W108:Y108"/>
    <mergeCell ref="D123:E123"/>
    <mergeCell ref="G110:H110"/>
    <mergeCell ref="C119:F119"/>
    <mergeCell ref="C120:F120"/>
    <mergeCell ref="G123:H123"/>
    <mergeCell ref="L123:M123"/>
    <mergeCell ref="N123:O123"/>
    <mergeCell ref="Q123:R123"/>
    <mergeCell ref="J79:K79"/>
    <mergeCell ref="G88:H88"/>
    <mergeCell ref="C93:F93"/>
    <mergeCell ref="G101:H101"/>
    <mergeCell ref="L101:M101"/>
    <mergeCell ref="C113:F113"/>
    <mergeCell ref="C114:F114"/>
    <mergeCell ref="C115:F115"/>
    <mergeCell ref="D101:E101"/>
    <mergeCell ref="J208:K208"/>
    <mergeCell ref="C200:F200"/>
    <mergeCell ref="C201:F201"/>
    <mergeCell ref="U165:W165"/>
    <mergeCell ref="W171:Y171"/>
    <mergeCell ref="G167:H167"/>
    <mergeCell ref="Q208:R208"/>
    <mergeCell ref="G186:H186"/>
    <mergeCell ref="J186:K186"/>
    <mergeCell ref="L186:M186"/>
    <mergeCell ref="G161:H161"/>
    <mergeCell ref="D79:E79"/>
    <mergeCell ref="G79:H79"/>
    <mergeCell ref="C116:F116"/>
    <mergeCell ref="C94:F94"/>
    <mergeCell ref="C97:F97"/>
    <mergeCell ref="C109:AC109"/>
    <mergeCell ref="N153:O153"/>
    <mergeCell ref="J101:K101"/>
    <mergeCell ref="C98:F98"/>
    <mergeCell ref="G44:H44"/>
    <mergeCell ref="G66:H66"/>
    <mergeCell ref="W64:Y64"/>
    <mergeCell ref="W86:Y86"/>
    <mergeCell ref="Q79:R79"/>
    <mergeCell ref="J57:K57"/>
    <mergeCell ref="N79:O79"/>
    <mergeCell ref="G57:H57"/>
    <mergeCell ref="C65:AC65"/>
    <mergeCell ref="Q57:R57"/>
    <mergeCell ref="C367:AC367"/>
    <mergeCell ref="C356:F356"/>
    <mergeCell ref="D359:E359"/>
    <mergeCell ref="W300:Y300"/>
    <mergeCell ref="W322:Y322"/>
    <mergeCell ref="C323:AC323"/>
    <mergeCell ref="D315:E315"/>
    <mergeCell ref="G315:H315"/>
    <mergeCell ref="J315:K315"/>
    <mergeCell ref="L315:M315"/>
    <mergeCell ref="E16:F16"/>
    <mergeCell ref="C6:K6"/>
    <mergeCell ref="C20:K20"/>
    <mergeCell ref="G368:H368"/>
    <mergeCell ref="G346:H346"/>
    <mergeCell ref="C349:F349"/>
    <mergeCell ref="C350:F350"/>
    <mergeCell ref="C351:F351"/>
    <mergeCell ref="C352:F352"/>
    <mergeCell ref="C355:F355"/>
    <mergeCell ref="N24:O24"/>
    <mergeCell ref="U30:W30"/>
    <mergeCell ref="G26:H26"/>
    <mergeCell ref="H16:I16"/>
    <mergeCell ref="V16:W16"/>
    <mergeCell ref="U36:W36"/>
    <mergeCell ref="W42:Y42"/>
    <mergeCell ref="C25:AC25"/>
    <mergeCell ref="C31:AC31"/>
    <mergeCell ref="G32:H32"/>
    <mergeCell ref="G38:H38"/>
    <mergeCell ref="C37:AC37"/>
    <mergeCell ref="L57:M57"/>
    <mergeCell ref="N57:O57"/>
    <mergeCell ref="J123:K123"/>
    <mergeCell ref="L230:M230"/>
    <mergeCell ref="C160:AC160"/>
    <mergeCell ref="C172:AC172"/>
    <mergeCell ref="C166:AC166"/>
    <mergeCell ref="L79:M79"/>
    <mergeCell ref="C69:F69"/>
    <mergeCell ref="C70:F70"/>
    <mergeCell ref="G173:H173"/>
    <mergeCell ref="W193:Y193"/>
    <mergeCell ref="N282:O282"/>
    <mergeCell ref="D252:E252"/>
    <mergeCell ref="W215:Y215"/>
    <mergeCell ref="C194:AC194"/>
    <mergeCell ref="G195:H195"/>
    <mergeCell ref="C204:F204"/>
    <mergeCell ref="C205:F205"/>
    <mergeCell ref="G208:H208"/>
    <mergeCell ref="N315:O315"/>
    <mergeCell ref="Q315:R315"/>
    <mergeCell ref="C329:F329"/>
    <mergeCell ref="C330:F330"/>
    <mergeCell ref="C328:F328"/>
    <mergeCell ref="C333:F333"/>
    <mergeCell ref="C334:F334"/>
    <mergeCell ref="N337:O337"/>
    <mergeCell ref="Q337:R337"/>
    <mergeCell ref="W344:Y344"/>
    <mergeCell ref="C345:AC345"/>
    <mergeCell ref="D337:E337"/>
    <mergeCell ref="G337:H337"/>
    <mergeCell ref="J337:K337"/>
    <mergeCell ref="L337:M337"/>
    <mergeCell ref="Q359:R359"/>
    <mergeCell ref="W366:Y366"/>
    <mergeCell ref="C373:F373"/>
    <mergeCell ref="C374:F374"/>
    <mergeCell ref="G359:H359"/>
    <mergeCell ref="J359:K359"/>
    <mergeCell ref="L359:M359"/>
    <mergeCell ref="N359:O359"/>
    <mergeCell ref="C371:F371"/>
    <mergeCell ref="C372:F372"/>
    <mergeCell ref="C377:F377"/>
    <mergeCell ref="C378:F378"/>
    <mergeCell ref="N381:O381"/>
    <mergeCell ref="Q381:R381"/>
    <mergeCell ref="N411:O411"/>
    <mergeCell ref="C412:AC412"/>
    <mergeCell ref="D381:E381"/>
    <mergeCell ref="G381:H381"/>
    <mergeCell ref="J381:K381"/>
    <mergeCell ref="L381:M381"/>
    <mergeCell ref="W388:Y388"/>
    <mergeCell ref="C389:AC389"/>
    <mergeCell ref="G390:H390"/>
    <mergeCell ref="C393:F393"/>
    <mergeCell ref="G413:H413"/>
    <mergeCell ref="U417:W417"/>
    <mergeCell ref="C418:AC418"/>
    <mergeCell ref="G419:H419"/>
    <mergeCell ref="U423:W423"/>
    <mergeCell ref="C424:AC424"/>
    <mergeCell ref="G425:H425"/>
    <mergeCell ref="W429:Y429"/>
    <mergeCell ref="C430:AC430"/>
    <mergeCell ref="G431:H431"/>
    <mergeCell ref="C434:F434"/>
    <mergeCell ref="C435:F435"/>
    <mergeCell ref="C436:F436"/>
    <mergeCell ref="C437:F437"/>
    <mergeCell ref="C440:F440"/>
    <mergeCell ref="C441:F441"/>
    <mergeCell ref="W451:Y451"/>
    <mergeCell ref="C452:AC452"/>
    <mergeCell ref="N466:O466"/>
    <mergeCell ref="Q466:R466"/>
    <mergeCell ref="C456:F456"/>
    <mergeCell ref="C457:F457"/>
    <mergeCell ref="C458:F458"/>
    <mergeCell ref="C459:F459"/>
    <mergeCell ref="C462:F462"/>
    <mergeCell ref="C463:F463"/>
    <mergeCell ref="C474:AC474"/>
    <mergeCell ref="G475:H475"/>
    <mergeCell ref="N230:O230"/>
    <mergeCell ref="Q230:R230"/>
    <mergeCell ref="N252:O252"/>
    <mergeCell ref="Q252:R252"/>
    <mergeCell ref="G252:H252"/>
    <mergeCell ref="J252:K252"/>
    <mergeCell ref="L252:M252"/>
    <mergeCell ref="W473:Y473"/>
    <mergeCell ref="C478:F478"/>
    <mergeCell ref="C479:F479"/>
    <mergeCell ref="C480:F480"/>
    <mergeCell ref="C481:F481"/>
    <mergeCell ref="C528:F528"/>
    <mergeCell ref="C484:F484"/>
    <mergeCell ref="C507:F507"/>
    <mergeCell ref="C496:AC496"/>
    <mergeCell ref="G497:H497"/>
    <mergeCell ref="C503:F503"/>
    <mergeCell ref="C506:F506"/>
    <mergeCell ref="J488:K488"/>
    <mergeCell ref="L488:M488"/>
    <mergeCell ref="N488:O488"/>
    <mergeCell ref="C522:F522"/>
    <mergeCell ref="C523:F523"/>
    <mergeCell ref="C524:F524"/>
    <mergeCell ref="C525:F525"/>
    <mergeCell ref="C485:F485"/>
    <mergeCell ref="W495:Y495"/>
    <mergeCell ref="D488:E488"/>
    <mergeCell ref="G488:H488"/>
    <mergeCell ref="Q488:R488"/>
    <mergeCell ref="W517:Y517"/>
    <mergeCell ref="C518:AC518"/>
    <mergeCell ref="G519:H519"/>
    <mergeCell ref="C502:F502"/>
    <mergeCell ref="N510:O510"/>
    <mergeCell ref="Q510:R510"/>
    <mergeCell ref="J510:K510"/>
    <mergeCell ref="L510:M510"/>
    <mergeCell ref="L532:M532"/>
    <mergeCell ref="N532:O532"/>
    <mergeCell ref="Q532:R532"/>
    <mergeCell ref="C529:F529"/>
    <mergeCell ref="D532:E532"/>
    <mergeCell ref="G532:H532"/>
    <mergeCell ref="J532:K532"/>
    <mergeCell ref="N540:O540"/>
    <mergeCell ref="C667:AD668"/>
    <mergeCell ref="C541:AC541"/>
    <mergeCell ref="G542:H542"/>
    <mergeCell ref="U546:W546"/>
    <mergeCell ref="C547:AC547"/>
    <mergeCell ref="G548:H548"/>
    <mergeCell ref="U552:W552"/>
    <mergeCell ref="C553:AC553"/>
    <mergeCell ref="G554:H554"/>
    <mergeCell ref="W558:Y558"/>
    <mergeCell ref="C559:AC559"/>
    <mergeCell ref="G560:H560"/>
    <mergeCell ref="C563:F563"/>
    <mergeCell ref="C564:F564"/>
    <mergeCell ref="C565:F565"/>
    <mergeCell ref="C566:F566"/>
    <mergeCell ref="C569:F569"/>
    <mergeCell ref="C570:F570"/>
    <mergeCell ref="D573:E573"/>
    <mergeCell ref="Q573:R573"/>
    <mergeCell ref="W580:Y580"/>
    <mergeCell ref="C581:AC581"/>
    <mergeCell ref="G582:H582"/>
    <mergeCell ref="G573:H573"/>
    <mergeCell ref="J573:K573"/>
    <mergeCell ref="L573:M573"/>
    <mergeCell ref="N573:O573"/>
    <mergeCell ref="C585:F585"/>
    <mergeCell ref="C586:F586"/>
    <mergeCell ref="C587:F587"/>
    <mergeCell ref="C588:F588"/>
    <mergeCell ref="C591:F591"/>
    <mergeCell ref="C592:F592"/>
    <mergeCell ref="N595:O595"/>
    <mergeCell ref="Q595:R595"/>
    <mergeCell ref="W602:Y602"/>
    <mergeCell ref="C603:AC603"/>
    <mergeCell ref="D595:E595"/>
    <mergeCell ref="G595:H595"/>
    <mergeCell ref="J595:K595"/>
    <mergeCell ref="L595:M595"/>
    <mergeCell ref="G604:H604"/>
    <mergeCell ref="C607:F607"/>
    <mergeCell ref="C608:F608"/>
    <mergeCell ref="C609:F609"/>
    <mergeCell ref="C610:F610"/>
    <mergeCell ref="C613:F613"/>
    <mergeCell ref="C614:F614"/>
    <mergeCell ref="D617:E617"/>
    <mergeCell ref="Q617:R617"/>
    <mergeCell ref="W624:Y624"/>
    <mergeCell ref="C625:AC625"/>
    <mergeCell ref="G626:H626"/>
    <mergeCell ref="G617:H617"/>
    <mergeCell ref="J617:K617"/>
    <mergeCell ref="L617:M617"/>
    <mergeCell ref="N617:O617"/>
    <mergeCell ref="C629:F629"/>
    <mergeCell ref="C630:F630"/>
    <mergeCell ref="C631:F631"/>
    <mergeCell ref="C632:F632"/>
    <mergeCell ref="C635:F635"/>
    <mergeCell ref="C636:F636"/>
    <mergeCell ref="D639:E639"/>
    <mergeCell ref="G639:H639"/>
    <mergeCell ref="J639:K639"/>
    <mergeCell ref="L639:M639"/>
    <mergeCell ref="N639:O639"/>
    <mergeCell ref="Q639:R639"/>
    <mergeCell ref="W646:Y646"/>
    <mergeCell ref="C647:AC647"/>
    <mergeCell ref="G648:H648"/>
    <mergeCell ref="C651:F651"/>
    <mergeCell ref="C652:F652"/>
    <mergeCell ref="C653:F653"/>
    <mergeCell ref="C654:F654"/>
    <mergeCell ref="C657:F657"/>
    <mergeCell ref="L661:M661"/>
    <mergeCell ref="N661:O661"/>
    <mergeCell ref="Q661:R661"/>
    <mergeCell ref="C658:F658"/>
    <mergeCell ref="D661:E661"/>
    <mergeCell ref="G661:H661"/>
    <mergeCell ref="J661:K66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B1">
      <selection activeCell="D1" sqref="D1:U1"/>
    </sheetView>
  </sheetViews>
  <sheetFormatPr defaultColWidth="9.00390625" defaultRowHeight="13.5"/>
  <cols>
    <col min="1" max="1" width="3.875" style="0" hidden="1" customWidth="1"/>
    <col min="2" max="2" width="6.625" style="0" customWidth="1"/>
    <col min="3" max="3" width="15.75390625" style="0" customWidth="1"/>
    <col min="4" max="4" width="4.375" style="0" customWidth="1"/>
    <col min="5" max="6" width="2.50390625" style="0" customWidth="1"/>
    <col min="7" max="7" width="6.25390625" style="0" customWidth="1"/>
    <col min="8" max="8" width="3.125" style="0" customWidth="1"/>
    <col min="9" max="9" width="15.625" style="0" customWidth="1"/>
    <col min="10" max="10" width="2.50390625" style="0" customWidth="1"/>
    <col min="11" max="11" width="0.6171875" style="0" customWidth="1"/>
    <col min="12" max="12" width="5.75390625" style="0" customWidth="1"/>
    <col min="13" max="13" width="5.125" style="0" customWidth="1"/>
    <col min="14" max="14" width="2.875" style="0" customWidth="1"/>
    <col min="15" max="15" width="3.125" style="0" customWidth="1"/>
    <col min="16" max="16" width="2.375" style="0" customWidth="1"/>
    <col min="17" max="17" width="3.125" style="0" customWidth="1"/>
    <col min="18" max="19" width="2.50390625" style="0" customWidth="1"/>
    <col min="20" max="20" width="6.50390625" style="0" customWidth="1"/>
    <col min="21" max="21" width="2.25390625" style="0" customWidth="1"/>
    <col min="22" max="22" width="5.00390625" style="0" customWidth="1"/>
    <col min="23" max="23" width="4.50390625" style="0" customWidth="1"/>
    <col min="24" max="24" width="2.125" style="0" customWidth="1"/>
    <col min="25" max="25" width="6.125" style="0" customWidth="1"/>
    <col min="26" max="26" width="2.50390625" style="0" customWidth="1"/>
    <col min="27" max="27" width="3.125" style="0" customWidth="1"/>
    <col min="28" max="28" width="4.625" style="207" hidden="1" customWidth="1"/>
    <col min="29" max="29" width="4.625" style="1" hidden="1" customWidth="1"/>
    <col min="30" max="31" width="3.50390625" style="265" customWidth="1"/>
    <col min="32" max="32" width="3.625" style="1" customWidth="1"/>
    <col min="33" max="33" width="9.625" style="1" hidden="1" customWidth="1"/>
    <col min="34" max="35" width="3.625" style="190" customWidth="1"/>
    <col min="36" max="36" width="6.25390625" style="0" customWidth="1"/>
    <col min="37" max="37" width="1.25" style="0" customWidth="1"/>
    <col min="38" max="38" width="2.625" style="0" hidden="1" customWidth="1"/>
    <col min="39" max="39" width="0.6171875" style="0" customWidth="1"/>
  </cols>
  <sheetData>
    <row r="1" spans="2:36" ht="18.75" customHeight="1">
      <c r="B1" s="955" t="s">
        <v>390</v>
      </c>
      <c r="C1" s="1980"/>
      <c r="D1" s="1116" t="s">
        <v>498</v>
      </c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957"/>
      <c r="W1" s="957"/>
      <c r="X1" s="957"/>
      <c r="Y1" s="996" t="s">
        <v>499</v>
      </c>
      <c r="Z1" s="1100">
        <f>IF('記入シート'!C9="","",WIDECHAR('記入シート'!C9))</f>
      </c>
      <c r="AA1" s="1100"/>
      <c r="AB1" s="996"/>
      <c r="AC1" s="996"/>
      <c r="AD1" s="996" t="s">
        <v>405</v>
      </c>
      <c r="AE1" s="996">
        <f>IF('記入シート'!E9="","",WIDECHAR('記入シート'!E9))</f>
      </c>
      <c r="AF1" s="996" t="s">
        <v>406</v>
      </c>
      <c r="AG1" s="996"/>
      <c r="AH1" s="996">
        <f>IF('記入シート'!H9="","",WIDECHAR('記入シート'!H9))</f>
      </c>
      <c r="AI1" s="996" t="s">
        <v>500</v>
      </c>
      <c r="AJ1" s="957"/>
    </row>
    <row r="2" spans="2:36" ht="11.25" customHeigh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 t="s">
        <v>72</v>
      </c>
      <c r="AB2" s="814"/>
      <c r="AC2" s="814"/>
      <c r="AD2" s="814"/>
      <c r="AE2" s="814"/>
      <c r="AF2" s="814"/>
      <c r="AG2" s="814"/>
      <c r="AH2" s="814"/>
      <c r="AI2" s="814"/>
      <c r="AJ2" s="814"/>
    </row>
    <row r="3" spans="2:36" ht="15" customHeight="1">
      <c r="B3" s="958" t="s">
        <v>392</v>
      </c>
      <c r="C3" s="1109" t="str">
        <f>IF('記入シート'!C6=0," ",IF(LEN('記入シート'!C6)&gt;10,"※　文字数過多　※",WIDECHAR(LEFT('記入シート'!C6,10))))</f>
        <v> </v>
      </c>
      <c r="D3" s="1109"/>
      <c r="E3" s="950" t="s">
        <v>393</v>
      </c>
      <c r="F3" s="959"/>
      <c r="G3" s="949" t="s">
        <v>401</v>
      </c>
      <c r="H3" s="1109" t="str">
        <f>IF('記入シート'!C13=0," ",IF(LEN('記入シート'!C13)&gt;10,"※　文字数過多　※",WIDECHAR(LEFT('記入シート'!C13,10))))</f>
        <v> </v>
      </c>
      <c r="I3" s="1109"/>
      <c r="J3" s="959"/>
      <c r="K3" s="1100" t="s">
        <v>407</v>
      </c>
      <c r="L3" s="1100"/>
      <c r="M3" s="1002">
        <f>IF('記入シート'!$C$16="","",WIDECHAR('記入シート'!$C$16))</f>
      </c>
      <c r="N3" s="1002" t="s">
        <v>405</v>
      </c>
      <c r="O3" s="996">
        <f>IF('記入シート'!$E$16="","",WIDECHAR('記入シート'!$E$16))</f>
      </c>
      <c r="P3" s="958" t="s">
        <v>406</v>
      </c>
      <c r="Q3" s="1002">
        <f>IF('記入シート'!H16="","",WIDECHAR('記入シート'!H16))</f>
      </c>
      <c r="R3" s="954" t="s">
        <v>409</v>
      </c>
      <c r="T3" s="954" t="s">
        <v>410</v>
      </c>
      <c r="U3" s="1109" t="str">
        <f>IF('記入シート'!C20=0," ",IF(LEN('記入シート'!C20)&gt;10,"※　文字数過多　※",WIDECHAR(LEFT('記入シート'!C20,10))))</f>
        <v> </v>
      </c>
      <c r="V3" s="1109"/>
      <c r="W3" s="1109"/>
      <c r="X3" s="1109"/>
      <c r="Y3" s="1109"/>
      <c r="Z3" s="814"/>
      <c r="AA3" s="982" t="s">
        <v>71</v>
      </c>
      <c r="AB3" s="982"/>
      <c r="AC3" s="982"/>
      <c r="AD3" s="982"/>
      <c r="AE3" s="982"/>
      <c r="AF3" s="982"/>
      <c r="AG3" s="982"/>
      <c r="AH3" s="982"/>
      <c r="AI3" s="982"/>
      <c r="AJ3" s="982"/>
    </row>
    <row r="4" spans="2:36" ht="6" customHeight="1"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8"/>
      <c r="AE4" s="1108"/>
      <c r="AF4" s="1108"/>
      <c r="AG4" s="1108"/>
      <c r="AH4" s="1108"/>
      <c r="AI4" s="1108"/>
      <c r="AJ4" s="1108"/>
    </row>
    <row r="5" spans="2:36" ht="17.25" customHeight="1">
      <c r="B5" s="1119" t="s">
        <v>394</v>
      </c>
      <c r="C5" s="1120"/>
      <c r="D5" s="1110" t="s">
        <v>395</v>
      </c>
      <c r="E5" s="1111"/>
      <c r="F5" s="1111"/>
      <c r="G5" s="1111"/>
      <c r="H5" s="1111"/>
      <c r="I5" s="1111"/>
      <c r="J5" s="1111"/>
      <c r="K5" s="1111"/>
      <c r="L5" s="1110" t="s">
        <v>396</v>
      </c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111"/>
      <c r="AE5" s="1111"/>
      <c r="AF5" s="1111"/>
      <c r="AG5" s="1111"/>
      <c r="AH5" s="1111"/>
      <c r="AI5" s="1111"/>
      <c r="AJ5" s="1112"/>
    </row>
    <row r="6" spans="2:36" ht="17.25" customHeight="1">
      <c r="B6" s="1113" t="s">
        <v>397</v>
      </c>
      <c r="C6" s="1114"/>
      <c r="D6" s="1110" t="s">
        <v>398</v>
      </c>
      <c r="E6" s="1111"/>
      <c r="F6" s="1111"/>
      <c r="G6" s="1111"/>
      <c r="H6" s="1112"/>
      <c r="I6" s="1110" t="s">
        <v>399</v>
      </c>
      <c r="J6" s="1111"/>
      <c r="K6" s="1111"/>
      <c r="L6" s="1110" t="s">
        <v>400</v>
      </c>
      <c r="M6" s="1111"/>
      <c r="N6" s="1111"/>
      <c r="O6" s="1111"/>
      <c r="P6" s="1111"/>
      <c r="Q6" s="1111"/>
      <c r="R6" s="1111"/>
      <c r="S6" s="1111"/>
      <c r="T6" s="1111"/>
      <c r="U6" s="1112"/>
      <c r="V6" s="1110" t="s">
        <v>401</v>
      </c>
      <c r="W6" s="1111"/>
      <c r="X6" s="1112"/>
      <c r="Y6" s="1110" t="s">
        <v>402</v>
      </c>
      <c r="Z6" s="1111"/>
      <c r="AA6" s="1112"/>
      <c r="AB6" s="1110" t="s">
        <v>403</v>
      </c>
      <c r="AC6" s="1111"/>
      <c r="AD6" s="1111"/>
      <c r="AE6" s="1111"/>
      <c r="AF6" s="1111"/>
      <c r="AG6" s="1111"/>
      <c r="AH6" s="1111"/>
      <c r="AI6" s="1112"/>
      <c r="AJ6" s="960" t="s">
        <v>404</v>
      </c>
    </row>
    <row r="7" spans="1:38" s="65" customFormat="1" ht="18" customHeight="1">
      <c r="A7" s="65">
        <v>1</v>
      </c>
      <c r="B7" s="1117" t="str">
        <f>WIDECHAR(LEFT('演算'!$Q$10,'演算'!L10))</f>
        <v>　　　　　　　　　　　　</v>
      </c>
      <c r="C7" s="1118"/>
      <c r="D7" s="983" t="str">
        <f>WIDECHAR(LEFT('演算'!$Q$18,'演算'!$L$18))</f>
        <v>　　　　　　　　　　</v>
      </c>
      <c r="E7" s="962"/>
      <c r="F7" s="962"/>
      <c r="G7" s="962"/>
      <c r="H7" s="963"/>
      <c r="I7" s="1117" t="str">
        <f>WIDECHAR(LEFT('演算'!$Q$25,'演算'!$L$25))</f>
        <v>　　　　　　　　　　</v>
      </c>
      <c r="J7" s="1099"/>
      <c r="K7" s="1099"/>
      <c r="L7" s="983" t="str">
        <f>WIDECHAR(LEFT('演算'!$M$229,'演算'!$L$32))</f>
        <v>　　　　　　　　　　　　　　　　　　　</v>
      </c>
      <c r="M7" s="962"/>
      <c r="N7" s="962"/>
      <c r="O7" s="962"/>
      <c r="P7" s="962"/>
      <c r="Q7" s="962"/>
      <c r="R7" s="962"/>
      <c r="S7" s="962"/>
      <c r="T7" s="962"/>
      <c r="U7" s="963"/>
      <c r="V7" s="983" t="str">
        <f>WIDECHAR(LEFT('演算'!$M$230,'演算'!$L$40))</f>
        <v>　　　　　　</v>
      </c>
      <c r="W7" s="962"/>
      <c r="X7" s="963"/>
      <c r="Y7" s="1115" t="str">
        <f>WIDECHAR(LEFT('演算'!$M$231,'演算'!$L$49))</f>
        <v>　　　　　　</v>
      </c>
      <c r="Z7" s="1101"/>
      <c r="AA7" s="1102"/>
      <c r="AB7" s="984" t="str">
        <f>LEFT('演算'!$M$232,5)</f>
        <v>　　　　　</v>
      </c>
      <c r="AC7" s="965"/>
      <c r="AD7" s="1115" t="str">
        <f>ASC(AB7)</f>
        <v>     </v>
      </c>
      <c r="AE7" s="1101"/>
      <c r="AF7" s="952" t="str">
        <f>IF(AB7=0,"　",IF(AB7="　　　　　"," ","～"))</f>
        <v> </v>
      </c>
      <c r="AG7" s="985" t="str">
        <f>LEFT('演算'!$M$233,5)</f>
        <v>　　　　　</v>
      </c>
      <c r="AH7" s="1101" t="str">
        <f>ASC(AG7)</f>
        <v>     </v>
      </c>
      <c r="AI7" s="1102"/>
      <c r="AJ7" s="951" t="str">
        <f>WIDECHAR(LEFT('演算'!M234,1))</f>
        <v>　</v>
      </c>
      <c r="AL7" s="184">
        <v>1</v>
      </c>
    </row>
    <row r="8" spans="1:38" s="65" customFormat="1" ht="18" customHeight="1">
      <c r="A8" s="65">
        <v>1</v>
      </c>
      <c r="B8" s="1121" t="str">
        <f>WIDECHAR(MID(CONCATENATE('演算'!$Q$10,'演算'!$Q$242,'演算'!$Q$521,'演算'!$Q$800,'演算'!$Q$1079),'演算'!$L$10*A8+1,'演算'!$L$10))</f>
        <v>　　　　　　　　　　　　</v>
      </c>
      <c r="C8" s="1123"/>
      <c r="D8" s="961" t="str">
        <f>WIDECHAR(MID(CONCATENATE('演算'!$Q$18,'演算'!$Q$254,'演算'!$Q$533,'演算'!$Q$812,'演算'!$Q$1091),'演算'!$L$18*A8+1,'演算'!$L$18))</f>
        <v>　　　　　　　　　　</v>
      </c>
      <c r="E8" s="967"/>
      <c r="F8" s="967"/>
      <c r="G8" s="967"/>
      <c r="H8" s="968"/>
      <c r="I8" s="1121" t="str">
        <f>WIDECHAR(MID(CONCATENATE('演算'!$Q$25,'演算'!$Q$265,'演算'!$Q$544,'演算'!$Q$823,'演算'!$Q$1102),'演算'!$L$25*A8+1,'演算'!$L$25))</f>
        <v>　　　　　　　　　　</v>
      </c>
      <c r="J8" s="1122"/>
      <c r="K8" s="1122"/>
      <c r="L8" s="961" t="str">
        <f>WIDECHAR(MID(CONCATENATE('演算'!$M$229,'演算'!$M$496,'演算'!$M$775,'演算'!$M$1054,'演算'!$M$1333),'演算'!$L$32*A8+1,'演算'!$L$32))</f>
        <v>　　　　　　　　　　　　　　　　　　　</v>
      </c>
      <c r="M8" s="967"/>
      <c r="N8" s="967"/>
      <c r="O8" s="967"/>
      <c r="P8" s="967"/>
      <c r="Q8" s="967"/>
      <c r="R8" s="967"/>
      <c r="S8" s="967"/>
      <c r="T8" s="967"/>
      <c r="U8" s="968"/>
      <c r="V8" s="961" t="str">
        <f>WIDECHAR(MID(CONCATENATE('演算'!$M$230,'演算'!$M$497,'演算'!$M$776,'演算'!$M$1055,'演算'!$M$1334),'演算'!$L$40*A8+1,'演算'!$L$40))</f>
        <v>　　　　　　</v>
      </c>
      <c r="W8" s="967"/>
      <c r="X8" s="968"/>
      <c r="Y8" s="1103" t="str">
        <f>WIDECHAR(MID(CONCATENATE('演算'!$M$231,'演算'!$M$498,'演算'!$M$777,'演算'!$M$1056,'演算'!$M$1335),'演算'!$L$49*A8+1,'演算'!$L$49))</f>
        <v>　　　　　　</v>
      </c>
      <c r="Z8" s="1104"/>
      <c r="AA8" s="1105"/>
      <c r="AB8" s="964" t="str">
        <f>MID(CONCATENATE('演算'!$M$232,'演算'!$M$499,'演算'!$M$778,'演算'!$M$1057,'演算'!$M$1336,REPT("　",130)),5*A8+1,5)</f>
        <v>　　　　　</v>
      </c>
      <c r="AC8" s="969"/>
      <c r="AD8" s="1103" t="str">
        <f>ASC(AB8)</f>
        <v>     </v>
      </c>
      <c r="AE8" s="1104"/>
      <c r="AF8" s="952" t="str">
        <f>IF(AB8=0,"　",IF(AB8=REPT("　",5)," ","～"))</f>
        <v> </v>
      </c>
      <c r="AG8" s="966" t="str">
        <f>MID(CONCATENATE('演算'!$M$233,'演算'!$M$500,'演算'!$M$779,'演算'!$M$1058,'演算'!$M$1337),5*A8+1,5)</f>
        <v>　　　　　</v>
      </c>
      <c r="AH8" s="1104" t="str">
        <f>ASC(AG8)</f>
        <v>     </v>
      </c>
      <c r="AI8" s="1105"/>
      <c r="AJ8" s="953" t="str">
        <f>WIDECHAR(MID(CONCATENATE('演算'!$M$234,'演算'!$M$501,'演算'!$M$780,'演算'!$M$1059,'演算'!$M$1338),A8+1,1))</f>
        <v>　</v>
      </c>
      <c r="AL8" s="184">
        <v>2</v>
      </c>
    </row>
    <row r="9" spans="1:38" s="65" customFormat="1" ht="18" customHeight="1">
      <c r="A9" s="65">
        <v>2</v>
      </c>
      <c r="B9" s="1121" t="str">
        <f>WIDECHAR(MID(CONCATENATE('演算'!$Q$10,'演算'!$Q$242,'演算'!$Q$521,'演算'!$Q$800,'演算'!$Q$1079),'演算'!$L$10*A9+1,'演算'!$L$10))</f>
        <v>　　　　　　　　　　　　</v>
      </c>
      <c r="C9" s="1123"/>
      <c r="D9" s="961" t="str">
        <f>WIDECHAR(MID(CONCATENATE('演算'!$Q$18,'演算'!$Q$254,'演算'!$Q$533,'演算'!$Q$812,'演算'!$Q$1091),'演算'!$L$18*A9+1,'演算'!$L$18))</f>
        <v>　　　　　　　　　　</v>
      </c>
      <c r="E9" s="967"/>
      <c r="F9" s="967"/>
      <c r="G9" s="967"/>
      <c r="H9" s="968"/>
      <c r="I9" s="1121" t="str">
        <f>WIDECHAR(MID(CONCATENATE('演算'!$Q$25,'演算'!$Q$265,'演算'!$Q$544,'演算'!$Q$823,'演算'!$Q$1102),'演算'!$L$25*A9+1,'演算'!$L$25))</f>
        <v>　　　　　　　　　　</v>
      </c>
      <c r="J9" s="1122"/>
      <c r="K9" s="1122"/>
      <c r="L9" s="961" t="str">
        <f>WIDECHAR(MID(CONCATENATE('演算'!$M$229,'演算'!$M$496,'演算'!$M$775,'演算'!$M$1054,'演算'!$M$1333),'演算'!$L$32*A9+1,'演算'!$L$32))</f>
        <v>　　　　　　　　　　　　　　　　　　　</v>
      </c>
      <c r="M9" s="967"/>
      <c r="N9" s="967"/>
      <c r="O9" s="967"/>
      <c r="P9" s="967"/>
      <c r="Q9" s="967"/>
      <c r="R9" s="967"/>
      <c r="S9" s="967"/>
      <c r="T9" s="967"/>
      <c r="U9" s="968"/>
      <c r="V9" s="961" t="str">
        <f>WIDECHAR(MID(CONCATENATE('演算'!$M$230,'演算'!$M$497,'演算'!$M$776,'演算'!$M$1055,'演算'!$M$1334),'演算'!$L$40*A9+1,'演算'!$L$40))</f>
        <v>　　　　　　</v>
      </c>
      <c r="W9" s="967"/>
      <c r="X9" s="968"/>
      <c r="Y9" s="1103" t="str">
        <f>WIDECHAR(MID(CONCATENATE('演算'!$M$231,'演算'!$M$498,'演算'!$M$777,'演算'!$M$1056,'演算'!$M$1335),'演算'!$L$49*A9+1,'演算'!$L$49))</f>
        <v>　　　　　　</v>
      </c>
      <c r="Z9" s="1104"/>
      <c r="AA9" s="1105"/>
      <c r="AB9" s="964" t="str">
        <f>MID(CONCATENATE('演算'!$M$232,'演算'!$M$499,'演算'!$M$778,'演算'!$M$1057,'演算'!$M$1336,REPT("　",130)),5*A9+1,5)</f>
        <v>　　　　　</v>
      </c>
      <c r="AC9" s="969"/>
      <c r="AD9" s="1103" t="str">
        <f aca="true" t="shared" si="0" ref="AD9:AD32">ASC(AB9)</f>
        <v>     </v>
      </c>
      <c r="AE9" s="1104"/>
      <c r="AF9" s="952" t="str">
        <f aca="true" t="shared" si="1" ref="AF9:AF32">IF(AB9=0,"　",IF(AB9=REPT("　",5)," ","～"))</f>
        <v> </v>
      </c>
      <c r="AG9" s="966" t="str">
        <f>MID(CONCATENATE('演算'!$M$233,'演算'!$M$500,'演算'!$M$779,'演算'!$M$1058,'演算'!$M$1337),5*A9+1,5)</f>
        <v>　　　　　</v>
      </c>
      <c r="AH9" s="1104" t="str">
        <f aca="true" t="shared" si="2" ref="AH9:AH32">ASC(AG9)</f>
        <v>     </v>
      </c>
      <c r="AI9" s="1105"/>
      <c r="AJ9" s="953" t="str">
        <f>WIDECHAR(MID(CONCATENATE('演算'!$M$234,'演算'!$M$501,'演算'!$M$780,'演算'!$M$1059,'演算'!$M$1338),A9+1,1))</f>
        <v>　</v>
      </c>
      <c r="AL9" s="184">
        <v>3</v>
      </c>
    </row>
    <row r="10" spans="1:38" s="65" customFormat="1" ht="18" customHeight="1">
      <c r="A10" s="65">
        <v>3</v>
      </c>
      <c r="B10" s="1121" t="str">
        <f>WIDECHAR(MID(CONCATENATE('演算'!$Q$10,'演算'!$Q$242,'演算'!$Q$521,'演算'!$Q$800,'演算'!$Q$1079),'演算'!$L$10*A10+1,'演算'!$L$10))</f>
        <v>　　　　　　　　　　　　</v>
      </c>
      <c r="C10" s="1123"/>
      <c r="D10" s="961" t="str">
        <f>WIDECHAR(MID(CONCATENATE('演算'!$Q$18,'演算'!$Q$254,'演算'!$Q$533,'演算'!$Q$812,'演算'!$Q$1091),'演算'!$L$18*A10+1,'演算'!$L$18))</f>
        <v>　　　　　　　　　　</v>
      </c>
      <c r="E10" s="967"/>
      <c r="F10" s="967"/>
      <c r="G10" s="967"/>
      <c r="H10" s="968"/>
      <c r="I10" s="1121" t="str">
        <f>WIDECHAR(MID(CONCATENATE('演算'!$Q$25,'演算'!$Q$265,'演算'!$Q$544,'演算'!$Q$823,'演算'!$Q$1102),'演算'!$L$25*A10+1,'演算'!$L$25))</f>
        <v>　　　　　　　　　　</v>
      </c>
      <c r="J10" s="1122"/>
      <c r="K10" s="1122"/>
      <c r="L10" s="961" t="str">
        <f>WIDECHAR(MID(CONCATENATE('演算'!$M$229,'演算'!$M$496,'演算'!$M$775,'演算'!$M$1054,'演算'!$M$1333),'演算'!$L$32*A10+1,'演算'!$L$32))</f>
        <v>　　　　　　　　　　　　　　　　　　　</v>
      </c>
      <c r="M10" s="967"/>
      <c r="N10" s="967"/>
      <c r="O10" s="967"/>
      <c r="P10" s="967"/>
      <c r="Q10" s="967"/>
      <c r="R10" s="967"/>
      <c r="S10" s="967"/>
      <c r="T10" s="967"/>
      <c r="U10" s="968"/>
      <c r="V10" s="961" t="str">
        <f>WIDECHAR(MID(CONCATENATE('演算'!$M$230,'演算'!$M$497,'演算'!$M$776,'演算'!$M$1055,'演算'!$M$1334),'演算'!$L$40*A10+1,'演算'!$L$40))</f>
        <v>　　　　　　</v>
      </c>
      <c r="W10" s="967"/>
      <c r="X10" s="968"/>
      <c r="Y10" s="1103" t="str">
        <f>WIDECHAR(MID(CONCATENATE('演算'!$M$231,'演算'!$M$498,'演算'!$M$777,'演算'!$M$1056,'演算'!$M$1335),'演算'!$L$49*A10+1,'演算'!$L$49))</f>
        <v>　　　　　　</v>
      </c>
      <c r="Z10" s="1104"/>
      <c r="AA10" s="1105"/>
      <c r="AB10" s="964" t="str">
        <f>MID(CONCATENATE('演算'!$M$232,'演算'!$M$499,'演算'!$M$778,'演算'!$M$1057,'演算'!$M$1336,REPT("　",130)),5*A10+1,5)</f>
        <v>　　　　　</v>
      </c>
      <c r="AC10" s="969"/>
      <c r="AD10" s="1103" t="str">
        <f t="shared" si="0"/>
        <v>     </v>
      </c>
      <c r="AE10" s="1104"/>
      <c r="AF10" s="952" t="str">
        <f t="shared" si="1"/>
        <v> </v>
      </c>
      <c r="AG10" s="966" t="str">
        <f>MID(CONCATENATE('演算'!$M$233,'演算'!$M$500,'演算'!$M$779,'演算'!$M$1058,'演算'!$M$1337),5*A10+1,5)</f>
        <v>　　　　　</v>
      </c>
      <c r="AH10" s="1104" t="str">
        <f t="shared" si="2"/>
        <v>     </v>
      </c>
      <c r="AI10" s="1105"/>
      <c r="AJ10" s="953" t="str">
        <f>WIDECHAR(MID(CONCATENATE('演算'!$M$234,'演算'!$M$501,'演算'!$M$780,'演算'!$M$1059,'演算'!$M$1338),A10+1,1))</f>
        <v>　</v>
      </c>
      <c r="AL10" s="184">
        <v>4</v>
      </c>
    </row>
    <row r="11" spans="1:38" s="65" customFormat="1" ht="18" customHeight="1">
      <c r="A11" s="65">
        <v>4</v>
      </c>
      <c r="B11" s="1121" t="str">
        <f>WIDECHAR(MID(CONCATENATE('演算'!$Q$10,'演算'!$Q$242,'演算'!$Q$521,'演算'!$Q$800,'演算'!$Q$1079),'演算'!$L$10*A11+1,'演算'!$L$10))</f>
        <v>　　　　　　　　　　　　</v>
      </c>
      <c r="C11" s="1123"/>
      <c r="D11" s="961" t="str">
        <f>WIDECHAR(MID(CONCATENATE('演算'!$Q$18,'演算'!$Q$254,'演算'!$Q$533,'演算'!$Q$812,'演算'!$Q$1091),'演算'!$L$18*A11+1,'演算'!$L$18))</f>
        <v>　　　　　　　　　　</v>
      </c>
      <c r="E11" s="967"/>
      <c r="F11" s="967"/>
      <c r="G11" s="967"/>
      <c r="H11" s="968"/>
      <c r="I11" s="1121" t="str">
        <f>WIDECHAR(MID(CONCATENATE('演算'!$Q$25,'演算'!$Q$265,'演算'!$Q$544,'演算'!$Q$823,'演算'!$Q$1102),'演算'!$L$25*A11+1,'演算'!$L$25))</f>
        <v>　　　　　　　　　　</v>
      </c>
      <c r="J11" s="1122"/>
      <c r="K11" s="1122"/>
      <c r="L11" s="961" t="str">
        <f>WIDECHAR(MID(CONCATENATE('演算'!$M$229,'演算'!$M$496,'演算'!$M$775,'演算'!$M$1054,'演算'!$M$1333),'演算'!$L$32*A11+1,'演算'!$L$32))</f>
        <v>　　　　　　　　　　　　　　　　　　　</v>
      </c>
      <c r="M11" s="967"/>
      <c r="N11" s="967"/>
      <c r="O11" s="967"/>
      <c r="P11" s="967"/>
      <c r="Q11" s="967"/>
      <c r="R11" s="967"/>
      <c r="S11" s="967"/>
      <c r="T11" s="967"/>
      <c r="U11" s="968"/>
      <c r="V11" s="961" t="str">
        <f>WIDECHAR(MID(CONCATENATE('演算'!$M$230,'演算'!$M$497,'演算'!$M$776,'演算'!$M$1055,'演算'!$M$1334),'演算'!$L$40*A11+1,'演算'!$L$40))</f>
        <v>　　　　　　</v>
      </c>
      <c r="W11" s="967"/>
      <c r="X11" s="968"/>
      <c r="Y11" s="1103" t="str">
        <f>WIDECHAR(MID(CONCATENATE('演算'!$M$231,'演算'!$M$498,'演算'!$M$777,'演算'!$M$1056,'演算'!$M$1335),'演算'!$L$49*A11+1,'演算'!$L$49))</f>
        <v>　　　　　　</v>
      </c>
      <c r="Z11" s="1104"/>
      <c r="AA11" s="1105"/>
      <c r="AB11" s="964" t="str">
        <f>MID(CONCATENATE('演算'!$M$232,'演算'!$M$499,'演算'!$M$778,'演算'!$M$1057,'演算'!$M$1336,REPT("　",130)),5*A11+1,5)</f>
        <v>　　　　　</v>
      </c>
      <c r="AC11" s="969"/>
      <c r="AD11" s="1103" t="str">
        <f t="shared" si="0"/>
        <v>     </v>
      </c>
      <c r="AE11" s="1104"/>
      <c r="AF11" s="952" t="str">
        <f t="shared" si="1"/>
        <v> </v>
      </c>
      <c r="AG11" s="966" t="str">
        <f>MID(CONCATENATE('演算'!$M$233,'演算'!$M$500,'演算'!$M$779,'演算'!$M$1058,'演算'!$M$1337),5*A11+1,5)</f>
        <v>　　　　　</v>
      </c>
      <c r="AH11" s="1104" t="str">
        <f t="shared" si="2"/>
        <v>     </v>
      </c>
      <c r="AI11" s="1105"/>
      <c r="AJ11" s="953" t="str">
        <f>WIDECHAR(MID(CONCATENATE('演算'!$M$234,'演算'!$M$501,'演算'!$M$780,'演算'!$M$1059,'演算'!$M$1338),A11+1,1))</f>
        <v>　</v>
      </c>
      <c r="AL11" s="184">
        <v>5</v>
      </c>
    </row>
    <row r="12" spans="1:38" s="65" customFormat="1" ht="18" customHeight="1">
      <c r="A12" s="65">
        <v>5</v>
      </c>
      <c r="B12" s="1121">
        <f>WIDECHAR(MID(CONCATENATE('演算'!$Q$10,'演算'!$Q$242,'演算'!$Q$521,'演算'!$Q$800,'演算'!$Q$1079),'演算'!$L$10*A12+1,'演算'!$L$10))</f>
      </c>
      <c r="C12" s="1123"/>
      <c r="D12" s="961">
        <f>WIDECHAR(MID(CONCATENATE('演算'!$Q$18,'演算'!$Q$254,'演算'!$Q$533,'演算'!$Q$812,'演算'!$Q$1091),'演算'!$L$18*A12+1,'演算'!$L$18))</f>
      </c>
      <c r="E12" s="967"/>
      <c r="F12" s="967"/>
      <c r="G12" s="967"/>
      <c r="H12" s="968"/>
      <c r="I12" s="1121">
        <f>WIDECHAR(MID(CONCATENATE('演算'!$Q$25,'演算'!$Q$265,'演算'!$Q$544,'演算'!$Q$823,'演算'!$Q$1102),'演算'!$L$25*A12+1,'演算'!$L$25))</f>
      </c>
      <c r="J12" s="1122"/>
      <c r="K12" s="1122"/>
      <c r="L12" s="961">
        <f>WIDECHAR(MID(CONCATENATE('演算'!$M$229,'演算'!$M$496,'演算'!$M$775,'演算'!$M$1054,'演算'!$M$1333),'演算'!$L$32*A12+1,'演算'!$L$32))</f>
      </c>
      <c r="M12" s="967"/>
      <c r="N12" s="967"/>
      <c r="O12" s="967"/>
      <c r="P12" s="967"/>
      <c r="Q12" s="967"/>
      <c r="R12" s="967"/>
      <c r="S12" s="967"/>
      <c r="T12" s="967"/>
      <c r="U12" s="968"/>
      <c r="V12" s="961">
        <f>WIDECHAR(MID(CONCATENATE('演算'!$M$230,'演算'!$M$497,'演算'!$M$776,'演算'!$M$1055,'演算'!$M$1334),'演算'!$L$40*A12+1,'演算'!$L$40))</f>
      </c>
      <c r="W12" s="967"/>
      <c r="X12" s="968"/>
      <c r="Y12" s="1103">
        <f>WIDECHAR(MID(CONCATENATE('演算'!$M$231,'演算'!$M$498,'演算'!$M$777,'演算'!$M$1056,'演算'!$M$1335),'演算'!$L$49*A12+1,'演算'!$L$49))</f>
      </c>
      <c r="Z12" s="1104"/>
      <c r="AA12" s="1105"/>
      <c r="AB12" s="964" t="str">
        <f>MID(CONCATENATE('演算'!$M$232,'演算'!$M$499,'演算'!$M$778,'演算'!$M$1057,'演算'!$M$1336,REPT("　",130)),5*A12+1,5)</f>
        <v>　　　　　</v>
      </c>
      <c r="AC12" s="969"/>
      <c r="AD12" s="1103" t="str">
        <f t="shared" si="0"/>
        <v>     </v>
      </c>
      <c r="AE12" s="1104"/>
      <c r="AF12" s="952" t="str">
        <f t="shared" si="1"/>
        <v> </v>
      </c>
      <c r="AG12" s="966">
        <f>MID(CONCATENATE('演算'!$M$233,'演算'!$M$500,'演算'!$M$779,'演算'!$M$1058,'演算'!$M$1337),5*A12+1,5)</f>
      </c>
      <c r="AH12" s="1104">
        <f t="shared" si="2"/>
      </c>
      <c r="AI12" s="1105"/>
      <c r="AJ12" s="953">
        <f>WIDECHAR(MID(CONCATENATE('演算'!$M$234,'演算'!$M$501,'演算'!$M$780,'演算'!$M$1059,'演算'!$M$1338),A12+1,1))</f>
      </c>
      <c r="AL12" s="184">
        <v>6</v>
      </c>
    </row>
    <row r="13" spans="1:38" s="65" customFormat="1" ht="18" customHeight="1">
      <c r="A13" s="65">
        <v>6</v>
      </c>
      <c r="B13" s="1121">
        <f>WIDECHAR(MID(CONCATENATE('演算'!$Q$10,'演算'!$Q$242,'演算'!$Q$521,'演算'!$Q$800,'演算'!$Q$1079),'演算'!$L$10*A13+1,'演算'!$L$10))</f>
      </c>
      <c r="C13" s="1123"/>
      <c r="D13" s="961">
        <f>WIDECHAR(MID(CONCATENATE('演算'!$Q$18,'演算'!$Q$254,'演算'!$Q$533,'演算'!$Q$812,'演算'!$Q$1091),'演算'!$L$18*A13+1,'演算'!$L$18))</f>
      </c>
      <c r="E13" s="967"/>
      <c r="F13" s="967"/>
      <c r="G13" s="967"/>
      <c r="H13" s="968"/>
      <c r="I13" s="1121">
        <f>WIDECHAR(MID(CONCATENATE('演算'!$Q$25,'演算'!$Q$265,'演算'!$Q$544,'演算'!$Q$823,'演算'!$Q$1102),'演算'!$L$25*A13+1,'演算'!$L$25))</f>
      </c>
      <c r="J13" s="1122"/>
      <c r="K13" s="1122"/>
      <c r="L13" s="961">
        <f>WIDECHAR(MID(CONCATENATE('演算'!$M$229,'演算'!$M$496,'演算'!$M$775,'演算'!$M$1054,'演算'!$M$1333),'演算'!$L$32*A13+1,'演算'!$L$32))</f>
      </c>
      <c r="M13" s="967"/>
      <c r="N13" s="967"/>
      <c r="O13" s="967"/>
      <c r="P13" s="967"/>
      <c r="Q13" s="967"/>
      <c r="R13" s="967"/>
      <c r="S13" s="967"/>
      <c r="T13" s="967"/>
      <c r="U13" s="968"/>
      <c r="V13" s="961">
        <f>WIDECHAR(MID(CONCATENATE('演算'!$M$230,'演算'!$M$497,'演算'!$M$776,'演算'!$M$1055,'演算'!$M$1334),'演算'!$L$40*A13+1,'演算'!$L$40))</f>
      </c>
      <c r="W13" s="967"/>
      <c r="X13" s="968"/>
      <c r="Y13" s="1103">
        <f>WIDECHAR(MID(CONCATENATE('演算'!$M$231,'演算'!$M$498,'演算'!$M$777,'演算'!$M$1056,'演算'!$M$1335),'演算'!$L$49*A13+1,'演算'!$L$49))</f>
      </c>
      <c r="Z13" s="1104"/>
      <c r="AA13" s="1105"/>
      <c r="AB13" s="964" t="str">
        <f>MID(CONCATENATE('演算'!$M$232,'演算'!$M$499,'演算'!$M$778,'演算'!$M$1057,'演算'!$M$1336,REPT("　",130)),5*A13+1,5)</f>
        <v>　　　　　</v>
      </c>
      <c r="AC13" s="969"/>
      <c r="AD13" s="1103" t="str">
        <f t="shared" si="0"/>
        <v>     </v>
      </c>
      <c r="AE13" s="1104"/>
      <c r="AF13" s="952" t="str">
        <f t="shared" si="1"/>
        <v> </v>
      </c>
      <c r="AG13" s="966">
        <f>MID(CONCATENATE('演算'!$M$233,'演算'!$M$500,'演算'!$M$779,'演算'!$M$1058,'演算'!$M$1337),5*A13+1,5)</f>
      </c>
      <c r="AH13" s="1104">
        <f t="shared" si="2"/>
      </c>
      <c r="AI13" s="1105"/>
      <c r="AJ13" s="953">
        <f>WIDECHAR(MID(CONCATENATE('演算'!$M$234,'演算'!$M$501,'演算'!$M$780,'演算'!$M$1059,'演算'!$M$1338),A13+1,1))</f>
      </c>
      <c r="AL13" s="184">
        <v>7</v>
      </c>
    </row>
    <row r="14" spans="1:38" s="65" customFormat="1" ht="18" customHeight="1">
      <c r="A14" s="65">
        <v>7</v>
      </c>
      <c r="B14" s="1121">
        <f>WIDECHAR(MID(CONCATENATE('演算'!$Q$10,'演算'!$Q$242,'演算'!$Q$521,'演算'!$Q$800,'演算'!$Q$1079),'演算'!$L$10*A14+1,'演算'!$L$10))</f>
      </c>
      <c r="C14" s="1123"/>
      <c r="D14" s="961">
        <f>WIDECHAR(MID(CONCATENATE('演算'!$Q$18,'演算'!$Q$254,'演算'!$Q$533,'演算'!$Q$812,'演算'!$Q$1091),'演算'!$L$18*A14+1,'演算'!$L$18))</f>
      </c>
      <c r="E14" s="967"/>
      <c r="F14" s="967"/>
      <c r="G14" s="967"/>
      <c r="H14" s="968"/>
      <c r="I14" s="1121">
        <f>WIDECHAR(MID(CONCATENATE('演算'!$Q$25,'演算'!$Q$265,'演算'!$Q$544,'演算'!$Q$823,'演算'!$Q$1102),'演算'!$L$25*A14+1,'演算'!$L$25))</f>
      </c>
      <c r="J14" s="1122"/>
      <c r="K14" s="1122"/>
      <c r="L14" s="961">
        <f>WIDECHAR(MID(CONCATENATE('演算'!$M$229,'演算'!$M$496,'演算'!$M$775,'演算'!$M$1054,'演算'!$M$1333),'演算'!$L$32*A14+1,'演算'!$L$32))</f>
      </c>
      <c r="M14" s="967"/>
      <c r="N14" s="967"/>
      <c r="O14" s="967"/>
      <c r="P14" s="967"/>
      <c r="Q14" s="967"/>
      <c r="R14" s="967"/>
      <c r="S14" s="967"/>
      <c r="T14" s="967"/>
      <c r="U14" s="968"/>
      <c r="V14" s="961">
        <f>WIDECHAR(MID(CONCATENATE('演算'!$M$230,'演算'!$M$497,'演算'!$M$776,'演算'!$M$1055,'演算'!$M$1334),'演算'!$L$40*A14+1,'演算'!$L$40))</f>
      </c>
      <c r="W14" s="967"/>
      <c r="X14" s="968"/>
      <c r="Y14" s="1103">
        <f>WIDECHAR(MID(CONCATENATE('演算'!$M$231,'演算'!$M$498,'演算'!$M$777,'演算'!$M$1056,'演算'!$M$1335),'演算'!$L$49*A14+1,'演算'!$L$49))</f>
      </c>
      <c r="Z14" s="1104"/>
      <c r="AA14" s="1105"/>
      <c r="AB14" s="964" t="str">
        <f>MID(CONCATENATE('演算'!$M$232,'演算'!$M$499,'演算'!$M$778,'演算'!$M$1057,'演算'!$M$1336,REPT("　",130)),5*A14+1,5)</f>
        <v>　　　　　</v>
      </c>
      <c r="AC14" s="969"/>
      <c r="AD14" s="1103" t="str">
        <f t="shared" si="0"/>
        <v>     </v>
      </c>
      <c r="AE14" s="1104"/>
      <c r="AF14" s="952" t="str">
        <f t="shared" si="1"/>
        <v> </v>
      </c>
      <c r="AG14" s="966">
        <f>MID(CONCATENATE('演算'!$M$233,'演算'!$M$500,'演算'!$M$779,'演算'!$M$1058,'演算'!$M$1337),5*A14+1,5)</f>
      </c>
      <c r="AH14" s="1104">
        <f t="shared" si="2"/>
      </c>
      <c r="AI14" s="1105"/>
      <c r="AJ14" s="953">
        <f>WIDECHAR(MID(CONCATENATE('演算'!$M$234,'演算'!$M$501,'演算'!$M$780,'演算'!$M$1059,'演算'!$M$1338),A14+1,1))</f>
      </c>
      <c r="AL14" s="184">
        <v>8</v>
      </c>
    </row>
    <row r="15" spans="1:38" s="65" customFormat="1" ht="18" customHeight="1">
      <c r="A15" s="65">
        <v>8</v>
      </c>
      <c r="B15" s="1121">
        <f>WIDECHAR(MID(CONCATENATE('演算'!$Q$10,'演算'!$Q$242,'演算'!$Q$521,'演算'!$Q$800,'演算'!$Q$1079),'演算'!$L$10*A15+1,'演算'!$L$10))</f>
      </c>
      <c r="C15" s="1123"/>
      <c r="D15" s="961">
        <f>WIDECHAR(MID(CONCATENATE('演算'!$Q$18,'演算'!$Q$254,'演算'!$Q$533,'演算'!$Q$812,'演算'!$Q$1091),'演算'!$L$18*A15+1,'演算'!$L$18))</f>
      </c>
      <c r="E15" s="967"/>
      <c r="F15" s="967"/>
      <c r="G15" s="967"/>
      <c r="H15" s="968"/>
      <c r="I15" s="1121">
        <f>WIDECHAR(MID(CONCATENATE('演算'!$Q$25,'演算'!$Q$265,'演算'!$Q$544,'演算'!$Q$823,'演算'!$Q$1102),'演算'!$L$25*A15+1,'演算'!$L$25))</f>
      </c>
      <c r="J15" s="1122"/>
      <c r="K15" s="1122"/>
      <c r="L15" s="961">
        <f>WIDECHAR(MID(CONCATENATE('演算'!$M$229,'演算'!$M$496,'演算'!$M$775,'演算'!$M$1054,'演算'!$M$1333),'演算'!$L$32*A15+1,'演算'!$L$32))</f>
      </c>
      <c r="M15" s="967"/>
      <c r="N15" s="967"/>
      <c r="O15" s="967"/>
      <c r="P15" s="967"/>
      <c r="Q15" s="967"/>
      <c r="R15" s="967"/>
      <c r="S15" s="967"/>
      <c r="T15" s="967"/>
      <c r="U15" s="968"/>
      <c r="V15" s="961">
        <f>WIDECHAR(MID(CONCATENATE('演算'!$M$230,'演算'!$M$497,'演算'!$M$776,'演算'!$M$1055,'演算'!$M$1334),'演算'!$L$40*A15+1,'演算'!$L$40))</f>
      </c>
      <c r="W15" s="967"/>
      <c r="X15" s="968"/>
      <c r="Y15" s="1103">
        <f>WIDECHAR(MID(CONCATENATE('演算'!$M$231,'演算'!$M$498,'演算'!$M$777,'演算'!$M$1056,'演算'!$M$1335),'演算'!$L$49*A15+1,'演算'!$L$49))</f>
      </c>
      <c r="Z15" s="1104"/>
      <c r="AA15" s="1105"/>
      <c r="AB15" s="964" t="str">
        <f>MID(CONCATENATE('演算'!$M$232,'演算'!$M$499,'演算'!$M$778,'演算'!$M$1057,'演算'!$M$1336,REPT("　",130)),5*A15+1,5)</f>
        <v>　　　　　</v>
      </c>
      <c r="AC15" s="969"/>
      <c r="AD15" s="1103" t="str">
        <f t="shared" si="0"/>
        <v>     </v>
      </c>
      <c r="AE15" s="1104"/>
      <c r="AF15" s="952" t="str">
        <f t="shared" si="1"/>
        <v> </v>
      </c>
      <c r="AG15" s="966">
        <f>MID(CONCATENATE('演算'!$M$233,'演算'!$M$500,'演算'!$M$779,'演算'!$M$1058,'演算'!$M$1337),5*A15+1,5)</f>
      </c>
      <c r="AH15" s="1104">
        <f t="shared" si="2"/>
      </c>
      <c r="AI15" s="1105"/>
      <c r="AJ15" s="953">
        <f>WIDECHAR(MID(CONCATENATE('演算'!$M$234,'演算'!$M$501,'演算'!$M$780,'演算'!$M$1059,'演算'!$M$1338),A15+1,1))</f>
      </c>
      <c r="AL15" s="184">
        <v>9</v>
      </c>
    </row>
    <row r="16" spans="1:38" s="65" customFormat="1" ht="18" customHeight="1">
      <c r="A16" s="65">
        <v>9</v>
      </c>
      <c r="B16" s="1121">
        <f>WIDECHAR(MID(CONCATENATE('演算'!$Q$10,'演算'!$Q$242,'演算'!$Q$521,'演算'!$Q$800,'演算'!$Q$1079),'演算'!$L$10*A16+1,'演算'!$L$10))</f>
      </c>
      <c r="C16" s="1123"/>
      <c r="D16" s="961">
        <f>WIDECHAR(MID(CONCATENATE('演算'!$Q$18,'演算'!$Q$254,'演算'!$Q$533,'演算'!$Q$812,'演算'!$Q$1091),'演算'!$L$18*A16+1,'演算'!$L$18))</f>
      </c>
      <c r="E16" s="967"/>
      <c r="F16" s="967"/>
      <c r="G16" s="967"/>
      <c r="H16" s="968"/>
      <c r="I16" s="1121">
        <f>WIDECHAR(MID(CONCATENATE('演算'!$Q$25,'演算'!$Q$265,'演算'!$Q$544,'演算'!$Q$823,'演算'!$Q$1102),'演算'!$L$25*A16+1,'演算'!$L$25))</f>
      </c>
      <c r="J16" s="1122"/>
      <c r="K16" s="1122"/>
      <c r="L16" s="961">
        <f>WIDECHAR(MID(CONCATENATE('演算'!$M$229,'演算'!$M$496,'演算'!$M$775,'演算'!$M$1054,'演算'!$M$1333),'演算'!$L$32*A16+1,'演算'!$L$32))</f>
      </c>
      <c r="M16" s="967"/>
      <c r="N16" s="967"/>
      <c r="O16" s="967"/>
      <c r="P16" s="967"/>
      <c r="Q16" s="952"/>
      <c r="R16" s="967"/>
      <c r="S16" s="967"/>
      <c r="T16" s="967"/>
      <c r="U16" s="968"/>
      <c r="V16" s="961">
        <f>WIDECHAR(MID(CONCATENATE('演算'!$M$230,'演算'!$M$497,'演算'!$M$776,'演算'!$M$1055,'演算'!$M$1334),'演算'!$L$40*A16+1,'演算'!$L$40))</f>
      </c>
      <c r="W16" s="967"/>
      <c r="X16" s="968"/>
      <c r="Y16" s="1103">
        <f>WIDECHAR(MID(CONCATENATE('演算'!$M$231,'演算'!$M$498,'演算'!$M$777,'演算'!$M$1056,'演算'!$M$1335),'演算'!$L$49*A16+1,'演算'!$L$49))</f>
      </c>
      <c r="Z16" s="1104"/>
      <c r="AA16" s="1105"/>
      <c r="AB16" s="964" t="str">
        <f>MID(CONCATENATE('演算'!$M$232,'演算'!$M$499,'演算'!$M$778,'演算'!$M$1057,'演算'!$M$1336,REPT("　",130)),5*A16+1,5)</f>
        <v>　　　　　</v>
      </c>
      <c r="AC16" s="969"/>
      <c r="AD16" s="1103" t="str">
        <f t="shared" si="0"/>
        <v>     </v>
      </c>
      <c r="AE16" s="1104"/>
      <c r="AF16" s="952" t="str">
        <f t="shared" si="1"/>
        <v> </v>
      </c>
      <c r="AG16" s="966">
        <f>MID(CONCATENATE('演算'!$M$233,'演算'!$M$500,'演算'!$M$779,'演算'!$M$1058,'演算'!$M$1337),5*A16+1,5)</f>
      </c>
      <c r="AH16" s="1104">
        <f t="shared" si="2"/>
      </c>
      <c r="AI16" s="1105"/>
      <c r="AJ16" s="953">
        <f>WIDECHAR(MID(CONCATENATE('演算'!$M$234,'演算'!$M$501,'演算'!$M$780,'演算'!$M$1059,'演算'!$M$1338),A16+1,1))</f>
      </c>
      <c r="AL16" s="184">
        <v>10</v>
      </c>
    </row>
    <row r="17" spans="1:38" s="65" customFormat="1" ht="18" customHeight="1">
      <c r="A17" s="65">
        <v>10</v>
      </c>
      <c r="B17" s="1121">
        <f>WIDECHAR(MID(CONCATENATE('演算'!$Q$10,'演算'!$Q$242,'演算'!$Q$521,'演算'!$Q$800,'演算'!$Q$1079),'演算'!$L$10*A17+1,'演算'!$L$10))</f>
      </c>
      <c r="C17" s="1123"/>
      <c r="D17" s="961">
        <f>WIDECHAR(MID(CONCATENATE('演算'!$Q$18,'演算'!$Q$254,'演算'!$Q$533,'演算'!$Q$812,'演算'!$Q$1091),'演算'!$L$18*A17+1,'演算'!$L$18))</f>
      </c>
      <c r="E17" s="967"/>
      <c r="F17" s="967"/>
      <c r="G17" s="967"/>
      <c r="H17" s="968"/>
      <c r="I17" s="1121">
        <f>WIDECHAR(MID(CONCATENATE('演算'!$Q$25,'演算'!$Q$265,'演算'!$Q$544,'演算'!$Q$823,'演算'!$Q$1102),'演算'!$L$25*A17+1,'演算'!$L$25))</f>
      </c>
      <c r="J17" s="1122"/>
      <c r="K17" s="1122"/>
      <c r="L17" s="961">
        <f>WIDECHAR(MID(CONCATENATE('演算'!$M$229,'演算'!$M$496,'演算'!$M$775,'演算'!$M$1054,'演算'!$M$1333),'演算'!$L$32*A17+1,'演算'!$L$32))</f>
      </c>
      <c r="M17" s="967"/>
      <c r="N17" s="967"/>
      <c r="O17" s="967"/>
      <c r="P17" s="967"/>
      <c r="Q17" s="967"/>
      <c r="R17" s="967"/>
      <c r="S17" s="967"/>
      <c r="T17" s="967"/>
      <c r="U17" s="968"/>
      <c r="V17" s="961">
        <f>WIDECHAR(MID(CONCATENATE('演算'!$M$230,'演算'!$M$497,'演算'!$M$776,'演算'!$M$1055,'演算'!$M$1334),'演算'!$L$40*A17+1,'演算'!$L$40))</f>
      </c>
      <c r="W17" s="967"/>
      <c r="X17" s="968"/>
      <c r="Y17" s="1103">
        <f>WIDECHAR(MID(CONCATENATE('演算'!$M$231,'演算'!$M$498,'演算'!$M$777,'演算'!$M$1056,'演算'!$M$1335),'演算'!$L$49*A17+1,'演算'!$L$49))</f>
      </c>
      <c r="Z17" s="1104"/>
      <c r="AA17" s="1105"/>
      <c r="AB17" s="964" t="str">
        <f>MID(CONCATENATE('演算'!$M$232,'演算'!$M$499,'演算'!$M$778,'演算'!$M$1057,'演算'!$M$1336,REPT("　",130)),5*A17+1,5)</f>
        <v>　　　　　</v>
      </c>
      <c r="AC17" s="969"/>
      <c r="AD17" s="1103" t="str">
        <f t="shared" si="0"/>
        <v>     </v>
      </c>
      <c r="AE17" s="1104"/>
      <c r="AF17" s="952" t="str">
        <f t="shared" si="1"/>
        <v> </v>
      </c>
      <c r="AG17" s="966">
        <f>MID(CONCATENATE('演算'!$M$233,'演算'!$M$500,'演算'!$M$779,'演算'!$M$1058,'演算'!$M$1337),5*A17+1,5)</f>
      </c>
      <c r="AH17" s="1104">
        <f t="shared" si="2"/>
      </c>
      <c r="AI17" s="1105"/>
      <c r="AJ17" s="953">
        <f>WIDECHAR(MID(CONCATENATE('演算'!$M$234,'演算'!$M$501,'演算'!$M$780,'演算'!$M$1059,'演算'!$M$1338),A17+1,1))</f>
      </c>
      <c r="AL17" s="184">
        <v>11</v>
      </c>
    </row>
    <row r="18" spans="1:38" s="65" customFormat="1" ht="18" customHeight="1">
      <c r="A18" s="65">
        <v>11</v>
      </c>
      <c r="B18" s="1121">
        <f>WIDECHAR(MID(CONCATENATE('演算'!$Q$10,'演算'!$Q$242,'演算'!$Q$521,'演算'!$Q$800,'演算'!$Q$1079),'演算'!$L$10*A18+1,'演算'!$L$10))</f>
      </c>
      <c r="C18" s="1123"/>
      <c r="D18" s="961">
        <f>WIDECHAR(MID(CONCATENATE('演算'!$Q$18,'演算'!$Q$254,'演算'!$Q$533,'演算'!$Q$812,'演算'!$Q$1091),'演算'!$L$18*A18+1,'演算'!$L$18))</f>
      </c>
      <c r="E18" s="967"/>
      <c r="F18" s="967"/>
      <c r="G18" s="967"/>
      <c r="H18" s="968"/>
      <c r="I18" s="1121">
        <f>WIDECHAR(MID(CONCATENATE('演算'!$Q$25,'演算'!$Q$265,'演算'!$Q$544,'演算'!$Q$823,'演算'!$Q$1102),'演算'!$L$25*A18+1,'演算'!$L$25))</f>
      </c>
      <c r="J18" s="1122"/>
      <c r="K18" s="1122"/>
      <c r="L18" s="961">
        <f>WIDECHAR(MID(CONCATENATE('演算'!$M$229,'演算'!$M$496,'演算'!$M$775,'演算'!$M$1054,'演算'!$M$1333),'演算'!$L$32*A18+1,'演算'!$L$32))</f>
      </c>
      <c r="M18" s="967"/>
      <c r="N18" s="967"/>
      <c r="O18" s="967"/>
      <c r="P18" s="967"/>
      <c r="Q18" s="967"/>
      <c r="R18" s="967"/>
      <c r="S18" s="967"/>
      <c r="T18" s="967"/>
      <c r="U18" s="968"/>
      <c r="V18" s="961">
        <f>WIDECHAR(MID(CONCATENATE('演算'!$M$230,'演算'!$M$497,'演算'!$M$776,'演算'!$M$1055,'演算'!$M$1334),'演算'!$L$40*A18+1,'演算'!$L$40))</f>
      </c>
      <c r="W18" s="967"/>
      <c r="X18" s="968"/>
      <c r="Y18" s="1103">
        <f>WIDECHAR(MID(CONCATENATE('演算'!$M$231,'演算'!$M$498,'演算'!$M$777,'演算'!$M$1056,'演算'!$M$1335),'演算'!$L$49*A18+1,'演算'!$L$49))</f>
      </c>
      <c r="Z18" s="1104"/>
      <c r="AA18" s="1105"/>
      <c r="AB18" s="964" t="str">
        <f>MID(CONCATENATE('演算'!$M$232,'演算'!$M$499,'演算'!$M$778,'演算'!$M$1057,'演算'!$M$1336,REPT("　",130)),5*A18+1,5)</f>
        <v>　　　　　</v>
      </c>
      <c r="AC18" s="969"/>
      <c r="AD18" s="1103" t="str">
        <f t="shared" si="0"/>
        <v>     </v>
      </c>
      <c r="AE18" s="1104"/>
      <c r="AF18" s="952" t="str">
        <f t="shared" si="1"/>
        <v> </v>
      </c>
      <c r="AG18" s="966">
        <f>MID(CONCATENATE('演算'!$M$233,'演算'!$M$500,'演算'!$M$779,'演算'!$M$1058,'演算'!$M$1337),5*A18+1,5)</f>
      </c>
      <c r="AH18" s="1104">
        <f t="shared" si="2"/>
      </c>
      <c r="AI18" s="1105"/>
      <c r="AJ18" s="953">
        <f>WIDECHAR(MID(CONCATENATE('演算'!$M$234,'演算'!$M$501,'演算'!$M$780,'演算'!$M$1059,'演算'!$M$1338),A18+1,1))</f>
      </c>
      <c r="AL18" s="184">
        <v>12</v>
      </c>
    </row>
    <row r="19" spans="1:38" s="65" customFormat="1" ht="18" customHeight="1">
      <c r="A19" s="65">
        <v>12</v>
      </c>
      <c r="B19" s="1121">
        <f>WIDECHAR(MID(CONCATENATE('演算'!$Q$10,'演算'!$Q$242,'演算'!$Q$521,'演算'!$Q$800,'演算'!$Q$1079),'演算'!$L$10*A19+1,'演算'!$L$10))</f>
      </c>
      <c r="C19" s="1123"/>
      <c r="D19" s="961">
        <f>WIDECHAR(MID(CONCATENATE('演算'!$Q$18,'演算'!$Q$254,'演算'!$Q$533,'演算'!$Q$812,'演算'!$Q$1091),'演算'!$L$18*A19+1,'演算'!$L$18))</f>
      </c>
      <c r="E19" s="967"/>
      <c r="F19" s="967"/>
      <c r="G19" s="967"/>
      <c r="H19" s="968"/>
      <c r="I19" s="1121">
        <f>WIDECHAR(MID(CONCATENATE('演算'!$Q$25,'演算'!$Q$265,'演算'!$Q$544,'演算'!$Q$823,'演算'!$Q$1102),'演算'!$L$25*A19+1,'演算'!$L$25))</f>
      </c>
      <c r="J19" s="1122"/>
      <c r="K19" s="1122"/>
      <c r="L19" s="961">
        <f>WIDECHAR(MID(CONCATENATE('演算'!$M$229,'演算'!$M$496,'演算'!$M$775,'演算'!$M$1054,'演算'!$M$1333),'演算'!$L$32*A19+1,'演算'!$L$32))</f>
      </c>
      <c r="M19" s="967"/>
      <c r="N19" s="967"/>
      <c r="O19" s="967"/>
      <c r="P19" s="967"/>
      <c r="Q19" s="967"/>
      <c r="R19" s="967"/>
      <c r="S19" s="967"/>
      <c r="T19" s="967"/>
      <c r="U19" s="968"/>
      <c r="V19" s="961">
        <f>WIDECHAR(MID(CONCATENATE('演算'!$M$230,'演算'!$M$497,'演算'!$M$776,'演算'!$M$1055,'演算'!$M$1334),'演算'!$L$40*A19+1,'演算'!$L$40))</f>
      </c>
      <c r="W19" s="967"/>
      <c r="X19" s="968"/>
      <c r="Y19" s="1103">
        <f>WIDECHAR(MID(CONCATENATE('演算'!$M$231,'演算'!$M$498,'演算'!$M$777,'演算'!$M$1056,'演算'!$M$1335),'演算'!$L$49*A19+1,'演算'!$L$49))</f>
      </c>
      <c r="Z19" s="1104"/>
      <c r="AA19" s="1105"/>
      <c r="AB19" s="964" t="str">
        <f>MID(CONCATENATE('演算'!$M$232,'演算'!$M$499,'演算'!$M$778,'演算'!$M$1057,'演算'!$M$1336,REPT("　",130)),5*A19+1,5)</f>
        <v>　　　　　</v>
      </c>
      <c r="AC19" s="969"/>
      <c r="AD19" s="1103" t="str">
        <f t="shared" si="0"/>
        <v>     </v>
      </c>
      <c r="AE19" s="1104"/>
      <c r="AF19" s="952" t="str">
        <f t="shared" si="1"/>
        <v> </v>
      </c>
      <c r="AG19" s="966">
        <f>MID(CONCATENATE('演算'!$M$233,'演算'!$M$500,'演算'!$M$779,'演算'!$M$1058,'演算'!$M$1337),5*A19+1,5)</f>
      </c>
      <c r="AH19" s="1104">
        <f t="shared" si="2"/>
      </c>
      <c r="AI19" s="1105"/>
      <c r="AJ19" s="953">
        <f>WIDECHAR(MID(CONCATENATE('演算'!$M$234,'演算'!$M$501,'演算'!$M$780,'演算'!$M$1059,'演算'!$M$1338),A19+1,1))</f>
      </c>
      <c r="AL19" s="184">
        <v>13</v>
      </c>
    </row>
    <row r="20" spans="1:38" s="65" customFormat="1" ht="18" customHeight="1">
      <c r="A20" s="65">
        <v>13</v>
      </c>
      <c r="B20" s="1121">
        <f>WIDECHAR(MID(CONCATENATE('演算'!$Q$10,'演算'!$Q$242,'演算'!$Q$521,'演算'!$Q$800,'演算'!$Q$1079),'演算'!$L$10*A20+1,'演算'!$L$10))</f>
      </c>
      <c r="C20" s="1123"/>
      <c r="D20" s="961">
        <f>WIDECHAR(MID(CONCATENATE('演算'!$Q$18,'演算'!$Q$254,'演算'!$Q$533,'演算'!$Q$812,'演算'!$Q$1091),'演算'!$L$18*A20+1,'演算'!$L$18))</f>
      </c>
      <c r="E20" s="967"/>
      <c r="F20" s="967"/>
      <c r="G20" s="967"/>
      <c r="H20" s="968"/>
      <c r="I20" s="1121">
        <f>WIDECHAR(MID(CONCATENATE('演算'!$Q$25,'演算'!$Q$265,'演算'!$Q$544,'演算'!$Q$823,'演算'!$Q$1102),'演算'!$L$25*A20+1,'演算'!$L$25))</f>
      </c>
      <c r="J20" s="1122"/>
      <c r="K20" s="1122"/>
      <c r="L20" s="961">
        <f>WIDECHAR(MID(CONCATENATE('演算'!$M$229,'演算'!$M$496,'演算'!$M$775,'演算'!$M$1054,'演算'!$M$1333),'演算'!$L$32*A20+1,'演算'!$L$32))</f>
      </c>
      <c r="M20" s="967"/>
      <c r="N20" s="967"/>
      <c r="O20" s="967"/>
      <c r="P20" s="967"/>
      <c r="Q20" s="967"/>
      <c r="R20" s="967"/>
      <c r="S20" s="967"/>
      <c r="T20" s="967"/>
      <c r="U20" s="968"/>
      <c r="V20" s="961">
        <f>WIDECHAR(MID(CONCATENATE('演算'!$M$230,'演算'!$M$497,'演算'!$M$776,'演算'!$M$1055,'演算'!$M$1334),'演算'!$L$40*A20+1,'演算'!$L$40))</f>
      </c>
      <c r="W20" s="967"/>
      <c r="X20" s="968"/>
      <c r="Y20" s="1103">
        <f>WIDECHAR(MID(CONCATENATE('演算'!$M$231,'演算'!$M$498,'演算'!$M$777,'演算'!$M$1056,'演算'!$M$1335),'演算'!$L$49*A20+1,'演算'!$L$49))</f>
      </c>
      <c r="Z20" s="1104"/>
      <c r="AA20" s="1105"/>
      <c r="AB20" s="964" t="str">
        <f>MID(CONCATENATE('演算'!$M$232,'演算'!$M$499,'演算'!$M$778,'演算'!$M$1057,'演算'!$M$1336,REPT("　",130)),5*A20+1,5)</f>
        <v>　　　　　</v>
      </c>
      <c r="AC20" s="969"/>
      <c r="AD20" s="1103" t="str">
        <f t="shared" si="0"/>
        <v>     </v>
      </c>
      <c r="AE20" s="1104"/>
      <c r="AF20" s="952" t="str">
        <f t="shared" si="1"/>
        <v> </v>
      </c>
      <c r="AG20" s="966">
        <f>MID(CONCATENATE('演算'!$M$233,'演算'!$M$500,'演算'!$M$779,'演算'!$M$1058,'演算'!$M$1337),5*A20+1,5)</f>
      </c>
      <c r="AH20" s="1104">
        <f t="shared" si="2"/>
      </c>
      <c r="AI20" s="1105"/>
      <c r="AJ20" s="953">
        <f>WIDECHAR(MID(CONCATENATE('演算'!$M$234,'演算'!$M$501,'演算'!$M$780,'演算'!$M$1059,'演算'!$M$1338),A20+1,1))</f>
      </c>
      <c r="AL20" s="184">
        <v>14</v>
      </c>
    </row>
    <row r="21" spans="1:38" s="65" customFormat="1" ht="18" customHeight="1">
      <c r="A21" s="65">
        <v>14</v>
      </c>
      <c r="B21" s="1121">
        <f>WIDECHAR(MID(CONCATENATE('演算'!$Q$10,'演算'!$Q$242,'演算'!$Q$521,'演算'!$Q$800,'演算'!$Q$1079),'演算'!$L$10*A21+1,'演算'!$L$10))</f>
      </c>
      <c r="C21" s="1123"/>
      <c r="D21" s="961">
        <f>WIDECHAR(MID(CONCATENATE('演算'!$Q$18,'演算'!$Q$254,'演算'!$Q$533,'演算'!$Q$812,'演算'!$Q$1091),'演算'!$L$18*A21+1,'演算'!$L$18))</f>
      </c>
      <c r="E21" s="967"/>
      <c r="F21" s="967"/>
      <c r="G21" s="967"/>
      <c r="H21" s="968"/>
      <c r="I21" s="1121">
        <f>WIDECHAR(MID(CONCATENATE('演算'!$Q$25,'演算'!$Q$265,'演算'!$Q$544,'演算'!$Q$823,'演算'!$Q$1102),'演算'!$L$25*A21+1,'演算'!$L$25))</f>
      </c>
      <c r="J21" s="1122"/>
      <c r="K21" s="1122"/>
      <c r="L21" s="961">
        <f>WIDECHAR(MID(CONCATENATE('演算'!$M$229,'演算'!$M$496,'演算'!$M$775,'演算'!$M$1054,'演算'!$M$1333),'演算'!$L$32*A21+1,'演算'!$L$32))</f>
      </c>
      <c r="M21" s="967"/>
      <c r="N21" s="967"/>
      <c r="O21" s="967"/>
      <c r="P21" s="967"/>
      <c r="Q21" s="967"/>
      <c r="R21" s="967"/>
      <c r="S21" s="967"/>
      <c r="T21" s="967"/>
      <c r="U21" s="968"/>
      <c r="V21" s="961">
        <f>WIDECHAR(MID(CONCATENATE('演算'!$M$230,'演算'!$M$497,'演算'!$M$776,'演算'!$M$1055,'演算'!$M$1334),'演算'!$L$40*A21+1,'演算'!$L$40))</f>
      </c>
      <c r="W21" s="967"/>
      <c r="X21" s="968"/>
      <c r="Y21" s="1103">
        <f>WIDECHAR(MID(CONCATENATE('演算'!$M$231,'演算'!$M$498,'演算'!$M$777,'演算'!$M$1056,'演算'!$M$1335),'演算'!$L$49*A21+1,'演算'!$L$49))</f>
      </c>
      <c r="Z21" s="1104"/>
      <c r="AA21" s="1105"/>
      <c r="AB21" s="964" t="str">
        <f>MID(CONCATENATE('演算'!$M$232,'演算'!$M$499,'演算'!$M$778,'演算'!$M$1057,'演算'!$M$1336,REPT("　",130)),5*A21+1,5)</f>
        <v>　　　　　</v>
      </c>
      <c r="AC21" s="969"/>
      <c r="AD21" s="1103" t="str">
        <f t="shared" si="0"/>
        <v>     </v>
      </c>
      <c r="AE21" s="1104"/>
      <c r="AF21" s="952" t="str">
        <f t="shared" si="1"/>
        <v> </v>
      </c>
      <c r="AG21" s="966">
        <f>MID(CONCATENATE('演算'!$M$233,'演算'!$M$500,'演算'!$M$779,'演算'!$M$1058,'演算'!$M$1337),5*A21+1,5)</f>
      </c>
      <c r="AH21" s="1104">
        <f t="shared" si="2"/>
      </c>
      <c r="AI21" s="1105"/>
      <c r="AJ21" s="953">
        <f>WIDECHAR(MID(CONCATENATE('演算'!$M$234,'演算'!$M$501,'演算'!$M$780,'演算'!$M$1059,'演算'!$M$1338),A21+1,1))</f>
      </c>
      <c r="AL21" s="184">
        <v>15</v>
      </c>
    </row>
    <row r="22" spans="1:38" s="65" customFormat="1" ht="18" customHeight="1">
      <c r="A22" s="65">
        <v>15</v>
      </c>
      <c r="B22" s="1121">
        <f>WIDECHAR(MID(CONCATENATE('演算'!$Q$10,'演算'!$Q$242,'演算'!$Q$521,'演算'!$Q$800,'演算'!$Q$1079),'演算'!$L$10*A22+1,'演算'!$L$10))</f>
      </c>
      <c r="C22" s="1123"/>
      <c r="D22" s="961">
        <f>WIDECHAR(MID(CONCATENATE('演算'!$Q$18,'演算'!$Q$254,'演算'!$Q$533,'演算'!$Q$812,'演算'!$Q$1091),'演算'!$L$18*A22+1,'演算'!$L$18))</f>
      </c>
      <c r="E22" s="967"/>
      <c r="F22" s="967"/>
      <c r="G22" s="967"/>
      <c r="H22" s="968"/>
      <c r="I22" s="1121">
        <f>WIDECHAR(MID(CONCATENATE('演算'!$Q$25,'演算'!$Q$265,'演算'!$Q$544,'演算'!$Q$823,'演算'!$Q$1102),'演算'!$L$25*A22+1,'演算'!$L$25))</f>
      </c>
      <c r="J22" s="1122"/>
      <c r="K22" s="1122"/>
      <c r="L22" s="961">
        <f>WIDECHAR(MID(CONCATENATE('演算'!$M$229,'演算'!$M$496,'演算'!$M$775,'演算'!$M$1054,'演算'!$M$1333),'演算'!$L$32*A22+1,'演算'!$L$32))</f>
      </c>
      <c r="M22" s="967"/>
      <c r="N22" s="967"/>
      <c r="O22" s="967"/>
      <c r="P22" s="967"/>
      <c r="Q22" s="967"/>
      <c r="R22" s="967"/>
      <c r="S22" s="967"/>
      <c r="T22" s="967"/>
      <c r="U22" s="968"/>
      <c r="V22" s="961">
        <f>WIDECHAR(MID(CONCATENATE('演算'!$M$230,'演算'!$M$497,'演算'!$M$776,'演算'!$M$1055,'演算'!$M$1334),'演算'!$L$40*A22+1,'演算'!$L$40))</f>
      </c>
      <c r="W22" s="967"/>
      <c r="X22" s="968"/>
      <c r="Y22" s="1103">
        <f>WIDECHAR(MID(CONCATENATE('演算'!$M$231,'演算'!$M$498,'演算'!$M$777,'演算'!$M$1056,'演算'!$M$1335),'演算'!$L$49*A22+1,'演算'!$L$49))</f>
      </c>
      <c r="Z22" s="1104"/>
      <c r="AA22" s="1105"/>
      <c r="AB22" s="964" t="str">
        <f>MID(CONCATENATE('演算'!$M$232,'演算'!$M$499,'演算'!$M$778,'演算'!$M$1057,'演算'!$M$1336,REPT("　",130)),5*A22+1,5)</f>
        <v>　　　　　</v>
      </c>
      <c r="AC22" s="969"/>
      <c r="AD22" s="1103" t="str">
        <f t="shared" si="0"/>
        <v>     </v>
      </c>
      <c r="AE22" s="1104"/>
      <c r="AF22" s="952" t="str">
        <f t="shared" si="1"/>
        <v> </v>
      </c>
      <c r="AG22" s="966">
        <f>MID(CONCATENATE('演算'!$M$233,'演算'!$M$500,'演算'!$M$779,'演算'!$M$1058,'演算'!$M$1337),5*A22+1,5)</f>
      </c>
      <c r="AH22" s="1104">
        <f t="shared" si="2"/>
      </c>
      <c r="AI22" s="1105"/>
      <c r="AJ22" s="953">
        <f>WIDECHAR(MID(CONCATENATE('演算'!$M$234,'演算'!$M$501,'演算'!$M$780,'演算'!$M$1059,'演算'!$M$1338),A22+1,1))</f>
      </c>
      <c r="AL22" s="184">
        <v>16</v>
      </c>
    </row>
    <row r="23" spans="1:38" s="65" customFormat="1" ht="18" customHeight="1">
      <c r="A23" s="65">
        <v>16</v>
      </c>
      <c r="B23" s="1121">
        <f>WIDECHAR(MID(CONCATENATE('演算'!$Q$10,'演算'!$Q$242,'演算'!$Q$521,'演算'!$Q$800,'演算'!$Q$1079),'演算'!$L$10*A23+1,'演算'!$L$10))</f>
      </c>
      <c r="C23" s="1123"/>
      <c r="D23" s="961">
        <f>WIDECHAR(MID(CONCATENATE('演算'!$Q$18,'演算'!$Q$254,'演算'!$Q$533,'演算'!$Q$812,'演算'!$Q$1091),'演算'!$L$18*A23+1,'演算'!$L$18))</f>
      </c>
      <c r="E23" s="967"/>
      <c r="F23" s="967"/>
      <c r="G23" s="967"/>
      <c r="H23" s="968"/>
      <c r="I23" s="1121">
        <f>WIDECHAR(MID(CONCATENATE('演算'!$Q$25,'演算'!$Q$265,'演算'!$Q$544,'演算'!$Q$823,'演算'!$Q$1102),'演算'!$L$25*A23+1,'演算'!$L$25))</f>
      </c>
      <c r="J23" s="1122"/>
      <c r="K23" s="1122"/>
      <c r="L23" s="961">
        <f>WIDECHAR(MID(CONCATENATE('演算'!$M$229,'演算'!$M$496,'演算'!$M$775,'演算'!$M$1054,'演算'!$M$1333),'演算'!$L$32*A23+1,'演算'!$L$32))</f>
      </c>
      <c r="M23" s="967"/>
      <c r="N23" s="967"/>
      <c r="O23" s="967"/>
      <c r="P23" s="967"/>
      <c r="Q23" s="967"/>
      <c r="R23" s="967"/>
      <c r="S23" s="967"/>
      <c r="T23" s="967"/>
      <c r="U23" s="968"/>
      <c r="V23" s="961">
        <f>WIDECHAR(MID(CONCATENATE('演算'!$M$230,'演算'!$M$497,'演算'!$M$776,'演算'!$M$1055,'演算'!$M$1334),'演算'!$L$40*A23+1,'演算'!$L$40))</f>
      </c>
      <c r="W23" s="967"/>
      <c r="X23" s="968"/>
      <c r="Y23" s="1103">
        <f>WIDECHAR(MID(CONCATENATE('演算'!$M$231,'演算'!$M$498,'演算'!$M$777,'演算'!$M$1056,'演算'!$M$1335),'演算'!$L$49*A23+1,'演算'!$L$49))</f>
      </c>
      <c r="Z23" s="1104"/>
      <c r="AA23" s="1105"/>
      <c r="AB23" s="964" t="str">
        <f>MID(CONCATENATE('演算'!$M$232,'演算'!$M$499,'演算'!$M$778,'演算'!$M$1057,'演算'!$M$1336,REPT("　",130)),5*A23+1,5)</f>
        <v>　　　　　</v>
      </c>
      <c r="AC23" s="969"/>
      <c r="AD23" s="1103" t="str">
        <f t="shared" si="0"/>
        <v>     </v>
      </c>
      <c r="AE23" s="1104"/>
      <c r="AF23" s="952" t="str">
        <f t="shared" si="1"/>
        <v> </v>
      </c>
      <c r="AG23" s="966">
        <f>MID(CONCATENATE('演算'!$M$233,'演算'!$M$500,'演算'!$M$779,'演算'!$M$1058,'演算'!$M$1337),5*A23+1,5)</f>
      </c>
      <c r="AH23" s="1104">
        <f t="shared" si="2"/>
      </c>
      <c r="AI23" s="1105"/>
      <c r="AJ23" s="953">
        <f>WIDECHAR(MID(CONCATENATE('演算'!$M$234,'演算'!$M$501,'演算'!$M$780,'演算'!$M$1059,'演算'!$M$1338),A23+1,1))</f>
      </c>
      <c r="AL23" s="184">
        <v>17</v>
      </c>
    </row>
    <row r="24" spans="1:38" s="65" customFormat="1" ht="18" customHeight="1">
      <c r="A24" s="65">
        <v>17</v>
      </c>
      <c r="B24" s="1121">
        <f>WIDECHAR(MID(CONCATENATE('演算'!$Q$10,'演算'!$Q$242,'演算'!$Q$521,'演算'!$Q$800,'演算'!$Q$1079),'演算'!$L$10*A24+1,'演算'!$L$10))</f>
      </c>
      <c r="C24" s="1123"/>
      <c r="D24" s="961">
        <f>WIDECHAR(MID(CONCATENATE('演算'!$Q$18,'演算'!$Q$254,'演算'!$Q$533,'演算'!$Q$812,'演算'!$Q$1091),'演算'!$L$18*A24+1,'演算'!$L$18))</f>
      </c>
      <c r="E24" s="967"/>
      <c r="F24" s="967"/>
      <c r="G24" s="967"/>
      <c r="H24" s="968"/>
      <c r="I24" s="1121">
        <f>WIDECHAR(MID(CONCATENATE('演算'!$Q$25,'演算'!$Q$265,'演算'!$Q$544,'演算'!$Q$823,'演算'!$Q$1102),'演算'!$L$25*A24+1,'演算'!$L$25))</f>
      </c>
      <c r="J24" s="1122"/>
      <c r="K24" s="1122"/>
      <c r="L24" s="961">
        <f>WIDECHAR(MID(CONCATENATE('演算'!$M$229,'演算'!$M$496,'演算'!$M$775,'演算'!$M$1054,'演算'!$M$1333),'演算'!$L$32*A24+1,'演算'!$L$32))</f>
      </c>
      <c r="M24" s="967"/>
      <c r="N24" s="967"/>
      <c r="O24" s="967"/>
      <c r="P24" s="967"/>
      <c r="Q24" s="967"/>
      <c r="R24" s="967"/>
      <c r="S24" s="967"/>
      <c r="T24" s="967"/>
      <c r="U24" s="968"/>
      <c r="V24" s="961">
        <f>WIDECHAR(MID(CONCATENATE('演算'!$M$230,'演算'!$M$497,'演算'!$M$776,'演算'!$M$1055,'演算'!$M$1334),'演算'!$L$40*A24+1,'演算'!$L$40))</f>
      </c>
      <c r="W24" s="967"/>
      <c r="X24" s="968"/>
      <c r="Y24" s="1103">
        <f>WIDECHAR(MID(CONCATENATE('演算'!$M$231,'演算'!$M$498,'演算'!$M$777,'演算'!$M$1056,'演算'!$M$1335),'演算'!$L$49*A24+1,'演算'!$L$49))</f>
      </c>
      <c r="Z24" s="1104"/>
      <c r="AA24" s="1105"/>
      <c r="AB24" s="964" t="str">
        <f>MID(CONCATENATE('演算'!$M$232,'演算'!$M$499,'演算'!$M$778,'演算'!$M$1057,'演算'!$M$1336,REPT("　",130)),5*A24+1,5)</f>
        <v>　　　　　</v>
      </c>
      <c r="AC24" s="969"/>
      <c r="AD24" s="1103" t="str">
        <f t="shared" si="0"/>
        <v>     </v>
      </c>
      <c r="AE24" s="1104"/>
      <c r="AF24" s="952" t="str">
        <f t="shared" si="1"/>
        <v> </v>
      </c>
      <c r="AG24" s="966">
        <f>MID(CONCATENATE('演算'!$M$233,'演算'!$M$500,'演算'!$M$779,'演算'!$M$1058,'演算'!$M$1337),5*A24+1,5)</f>
      </c>
      <c r="AH24" s="1104">
        <f t="shared" si="2"/>
      </c>
      <c r="AI24" s="1105"/>
      <c r="AJ24" s="953">
        <f>WIDECHAR(MID(CONCATENATE('演算'!$M$234,'演算'!$M$501,'演算'!$M$780,'演算'!$M$1059,'演算'!$M$1338),A24+1,1))</f>
      </c>
      <c r="AL24" s="184">
        <v>18</v>
      </c>
    </row>
    <row r="25" spans="1:38" s="65" customFormat="1" ht="18" customHeight="1">
      <c r="A25" s="65">
        <v>18</v>
      </c>
      <c r="B25" s="1121">
        <f>WIDECHAR(MID(CONCATENATE('演算'!$Q$10,'演算'!$Q$242,'演算'!$Q$521,'演算'!$Q$800,'演算'!$Q$1079),'演算'!$L$10*A25+1,'演算'!$L$10))</f>
      </c>
      <c r="C25" s="1123"/>
      <c r="D25" s="961">
        <f>WIDECHAR(MID(CONCATENATE('演算'!$Q$18,'演算'!$Q$254,'演算'!$Q$533,'演算'!$Q$812,'演算'!$Q$1091),'演算'!$L$18*A25+1,'演算'!$L$18))</f>
      </c>
      <c r="E25" s="967"/>
      <c r="F25" s="967"/>
      <c r="G25" s="967"/>
      <c r="H25" s="968"/>
      <c r="I25" s="1121">
        <f>WIDECHAR(MID(CONCATENATE('演算'!$Q$25,'演算'!$Q$265,'演算'!$Q$544,'演算'!$Q$823,'演算'!$Q$1102),'演算'!$L$25*A25+1,'演算'!$L$25))</f>
      </c>
      <c r="J25" s="1122"/>
      <c r="K25" s="1122"/>
      <c r="L25" s="961">
        <f>WIDECHAR(MID(CONCATENATE('演算'!$M$229,'演算'!$M$496,'演算'!$M$775,'演算'!$M$1054,'演算'!$M$1333),'演算'!$L$32*A25+1,'演算'!$L$32))</f>
      </c>
      <c r="M25" s="967"/>
      <c r="N25" s="967"/>
      <c r="O25" s="967"/>
      <c r="P25" s="967"/>
      <c r="Q25" s="967"/>
      <c r="R25" s="967"/>
      <c r="S25" s="967"/>
      <c r="T25" s="967"/>
      <c r="U25" s="968"/>
      <c r="V25" s="961">
        <f>WIDECHAR(MID(CONCATENATE('演算'!$M$230,'演算'!$M$497,'演算'!$M$776,'演算'!$M$1055,'演算'!$M$1334),'演算'!$L$40*A25+1,'演算'!$L$40))</f>
      </c>
      <c r="W25" s="967"/>
      <c r="X25" s="968"/>
      <c r="Y25" s="1103">
        <f>WIDECHAR(MID(CONCATENATE('演算'!$M$231,'演算'!$M$498,'演算'!$M$777,'演算'!$M$1056,'演算'!$M$1335),'演算'!$L$49*A25+1,'演算'!$L$49))</f>
      </c>
      <c r="Z25" s="1104"/>
      <c r="AA25" s="1105"/>
      <c r="AB25" s="964" t="str">
        <f>MID(CONCATENATE('演算'!$M$232,'演算'!$M$499,'演算'!$M$778,'演算'!$M$1057,'演算'!$M$1336,REPT("　",130)),5*A25+1,5)</f>
        <v>　　　　　</v>
      </c>
      <c r="AC25" s="969"/>
      <c r="AD25" s="1103" t="str">
        <f t="shared" si="0"/>
        <v>     </v>
      </c>
      <c r="AE25" s="1104"/>
      <c r="AF25" s="952" t="str">
        <f t="shared" si="1"/>
        <v> </v>
      </c>
      <c r="AG25" s="966">
        <f>MID(CONCATENATE('演算'!$M$233,'演算'!$M$500,'演算'!$M$779,'演算'!$M$1058,'演算'!$M$1337),5*A25+1,5)</f>
      </c>
      <c r="AH25" s="1104">
        <f t="shared" si="2"/>
      </c>
      <c r="AI25" s="1105"/>
      <c r="AJ25" s="953">
        <f>WIDECHAR(MID(CONCATENATE('演算'!$M$234,'演算'!$M$501,'演算'!$M$780,'演算'!$M$1059,'演算'!$M$1338),A25+1,1))</f>
      </c>
      <c r="AL25" s="184">
        <v>19</v>
      </c>
    </row>
    <row r="26" spans="1:38" s="65" customFormat="1" ht="18" customHeight="1">
      <c r="A26" s="65">
        <v>19</v>
      </c>
      <c r="B26" s="1121">
        <f>WIDECHAR(MID(CONCATENATE('演算'!$Q$10,'演算'!$Q$242,'演算'!$Q$521,'演算'!$Q$800,'演算'!$Q$1079),'演算'!$L$10*A26+1,'演算'!$L$10))</f>
      </c>
      <c r="C26" s="1123"/>
      <c r="D26" s="961">
        <f>WIDECHAR(MID(CONCATENATE('演算'!$Q$18,'演算'!$Q$254,'演算'!$Q$533,'演算'!$Q$812,'演算'!$Q$1091),'演算'!$L$18*A26+1,'演算'!$L$18))</f>
      </c>
      <c r="E26" s="967"/>
      <c r="F26" s="967"/>
      <c r="G26" s="967"/>
      <c r="H26" s="968"/>
      <c r="I26" s="1121">
        <f>WIDECHAR(MID(CONCATENATE('演算'!$Q$25,'演算'!$Q$265,'演算'!$Q$544,'演算'!$Q$823,'演算'!$Q$1102),'演算'!$L$25*A26+1,'演算'!$L$25))</f>
      </c>
      <c r="J26" s="1122"/>
      <c r="K26" s="1122"/>
      <c r="L26" s="961">
        <f>WIDECHAR(MID(CONCATENATE('演算'!$M$229,'演算'!$M$496,'演算'!$M$775,'演算'!$M$1054,'演算'!$M$1333),'演算'!$L$32*A26+1,'演算'!$L$32))</f>
      </c>
      <c r="M26" s="967"/>
      <c r="N26" s="967"/>
      <c r="O26" s="967"/>
      <c r="P26" s="967"/>
      <c r="Q26" s="967"/>
      <c r="R26" s="967"/>
      <c r="S26" s="967"/>
      <c r="T26" s="967"/>
      <c r="U26" s="968"/>
      <c r="V26" s="961">
        <f>WIDECHAR(MID(CONCATENATE('演算'!$M$230,'演算'!$M$497,'演算'!$M$776,'演算'!$M$1055,'演算'!$M$1334),'演算'!$L$40*A26+1,'演算'!$L$40))</f>
      </c>
      <c r="W26" s="967"/>
      <c r="X26" s="968"/>
      <c r="Y26" s="1103">
        <f>WIDECHAR(MID(CONCATENATE('演算'!$M$231,'演算'!$M$498,'演算'!$M$777,'演算'!$M$1056,'演算'!$M$1335),'演算'!$L$49*A26+1,'演算'!$L$49))</f>
      </c>
      <c r="Z26" s="1104"/>
      <c r="AA26" s="1105"/>
      <c r="AB26" s="964" t="str">
        <f>MID(CONCATENATE('演算'!$M$232,'演算'!$M$499,'演算'!$M$778,'演算'!$M$1057,'演算'!$M$1336,REPT("　",130)),5*A26+1,5)</f>
        <v>　　　　　</v>
      </c>
      <c r="AC26" s="969"/>
      <c r="AD26" s="1103" t="str">
        <f t="shared" si="0"/>
        <v>     </v>
      </c>
      <c r="AE26" s="1104"/>
      <c r="AF26" s="952" t="str">
        <f t="shared" si="1"/>
        <v> </v>
      </c>
      <c r="AG26" s="966">
        <f>MID(CONCATENATE('演算'!$M$233,'演算'!$M$500,'演算'!$M$779,'演算'!$M$1058,'演算'!$M$1337),5*A26+1,5)</f>
      </c>
      <c r="AH26" s="1104">
        <f t="shared" si="2"/>
      </c>
      <c r="AI26" s="1105"/>
      <c r="AJ26" s="953">
        <f>WIDECHAR(MID(CONCATENATE('演算'!$M$234,'演算'!$M$501,'演算'!$M$780,'演算'!$M$1059,'演算'!$M$1338),A26+1,1))</f>
      </c>
      <c r="AL26" s="184">
        <v>20</v>
      </c>
    </row>
    <row r="27" spans="1:38" s="65" customFormat="1" ht="18" customHeight="1">
      <c r="A27" s="65">
        <v>20</v>
      </c>
      <c r="B27" s="1121">
        <f>WIDECHAR(MID(CONCATENATE('演算'!$Q$10,'演算'!$Q$242,'演算'!$Q$521,'演算'!$Q$800,'演算'!$Q$1079),'演算'!$L$10*A27+1,'演算'!$L$10))</f>
      </c>
      <c r="C27" s="1123"/>
      <c r="D27" s="961">
        <f>WIDECHAR(MID(CONCATENATE('演算'!$Q$18,'演算'!$Q$254,'演算'!$Q$533,'演算'!$Q$812,'演算'!$Q$1091),'演算'!$L$18*A27+1,'演算'!$L$18))</f>
      </c>
      <c r="E27" s="967"/>
      <c r="F27" s="967"/>
      <c r="G27" s="967"/>
      <c r="H27" s="968"/>
      <c r="I27" s="1121">
        <f>WIDECHAR(MID(CONCATENATE('演算'!$Q$25,'演算'!$Q$265,'演算'!$Q$544,'演算'!$Q$823,'演算'!$Q$1102),'演算'!$L$25*A27+1,'演算'!$L$25))</f>
      </c>
      <c r="J27" s="1122"/>
      <c r="K27" s="1122"/>
      <c r="L27" s="961">
        <f>WIDECHAR(MID(CONCATENATE('演算'!$M$229,'演算'!$M$496,'演算'!$M$775,'演算'!$M$1054,'演算'!$M$1333),'演算'!$L$32*A27+1,'演算'!$L$32))</f>
      </c>
      <c r="M27" s="967"/>
      <c r="N27" s="967"/>
      <c r="O27" s="967"/>
      <c r="P27" s="967"/>
      <c r="Q27" s="967"/>
      <c r="R27" s="967"/>
      <c r="S27" s="967"/>
      <c r="T27" s="967"/>
      <c r="U27" s="968"/>
      <c r="V27" s="961">
        <f>WIDECHAR(MID(CONCATENATE('演算'!$M$230,'演算'!$M$497,'演算'!$M$776,'演算'!$M$1055,'演算'!$M$1334),'演算'!$L$40*A27+1,'演算'!$L$40))</f>
      </c>
      <c r="W27" s="967"/>
      <c r="X27" s="968"/>
      <c r="Y27" s="1103">
        <f>WIDECHAR(MID(CONCATENATE('演算'!$M$231,'演算'!$M$498,'演算'!$M$777,'演算'!$M$1056,'演算'!$M$1335),'演算'!$L$49*A27+1,'演算'!$L$49))</f>
      </c>
      <c r="Z27" s="1104"/>
      <c r="AA27" s="1105"/>
      <c r="AB27" s="964" t="str">
        <f>MID(CONCATENATE('演算'!$M$232,'演算'!$M$499,'演算'!$M$778,'演算'!$M$1057,'演算'!$M$1336,REPT("　",130)),5*A27+1,5)</f>
        <v>　　　　　</v>
      </c>
      <c r="AC27" s="969"/>
      <c r="AD27" s="1103" t="str">
        <f t="shared" si="0"/>
        <v>     </v>
      </c>
      <c r="AE27" s="1104"/>
      <c r="AF27" s="952" t="str">
        <f t="shared" si="1"/>
        <v> </v>
      </c>
      <c r="AG27" s="966">
        <f>MID(CONCATENATE('演算'!$M$233,'演算'!$M$500,'演算'!$M$779,'演算'!$M$1058,'演算'!$M$1337),5*A27+1,5)</f>
      </c>
      <c r="AH27" s="1104">
        <f t="shared" si="2"/>
      </c>
      <c r="AI27" s="1105"/>
      <c r="AJ27" s="953">
        <f>WIDECHAR(MID(CONCATENATE('演算'!$M$234,'演算'!$M$501,'演算'!$M$780,'演算'!$M$1059,'演算'!$M$1338),A27+1,1))</f>
      </c>
      <c r="AL27" s="184">
        <v>21</v>
      </c>
    </row>
    <row r="28" spans="1:38" s="65" customFormat="1" ht="18" customHeight="1">
      <c r="A28" s="65">
        <v>21</v>
      </c>
      <c r="B28" s="1121">
        <f>WIDECHAR(MID(CONCATENATE('演算'!$Q$10,'演算'!$Q$242,'演算'!$Q$521,'演算'!$Q$800,'演算'!$Q$1079),'演算'!$L$10*A28+1,'演算'!$L$10))</f>
      </c>
      <c r="C28" s="1123"/>
      <c r="D28" s="961">
        <f>WIDECHAR(MID(CONCATENATE('演算'!$Q$18,'演算'!$Q$254,'演算'!$Q$533,'演算'!$Q$812,'演算'!$Q$1091),'演算'!$L$18*A28+1,'演算'!$L$18))</f>
      </c>
      <c r="E28" s="970"/>
      <c r="F28" s="970"/>
      <c r="G28" s="970"/>
      <c r="H28" s="971"/>
      <c r="I28" s="1121">
        <f>WIDECHAR(MID(CONCATENATE('演算'!$Q$25,'演算'!$Q$265,'演算'!$Q$544,'演算'!$Q$823,'演算'!$Q$1102),'演算'!$L$25*A28+1,'演算'!$L$25))</f>
      </c>
      <c r="J28" s="1122"/>
      <c r="K28" s="1122"/>
      <c r="L28" s="961">
        <f>WIDECHAR(MID(CONCATENATE('演算'!$M$229,'演算'!$M$496,'演算'!$M$775,'演算'!$M$1054,'演算'!$M$1333),'演算'!$L$32*A28+1,'演算'!$L$32))</f>
      </c>
      <c r="M28" s="970"/>
      <c r="N28" s="970"/>
      <c r="O28" s="970"/>
      <c r="P28" s="970"/>
      <c r="Q28" s="970"/>
      <c r="R28" s="970"/>
      <c r="S28" s="970"/>
      <c r="T28" s="970"/>
      <c r="U28" s="971"/>
      <c r="V28" s="961">
        <f>WIDECHAR(MID(CONCATENATE('演算'!$M$230,'演算'!$M$497,'演算'!$M$776,'演算'!$M$1055,'演算'!$M$1334),'演算'!$L$40*A28+1,'演算'!$L$40))</f>
      </c>
      <c r="W28" s="970"/>
      <c r="X28" s="971"/>
      <c r="Y28" s="1103">
        <f>WIDECHAR(MID(CONCATENATE('演算'!$M$231,'演算'!$M$498,'演算'!$M$777,'演算'!$M$1056,'演算'!$M$1335),'演算'!$L$49*A28+1,'演算'!$L$49))</f>
      </c>
      <c r="Z28" s="1104"/>
      <c r="AA28" s="1105"/>
      <c r="AB28" s="964" t="str">
        <f>MID(CONCATENATE('演算'!$M$232,'演算'!$M$499,'演算'!$M$778,'演算'!$M$1057,'演算'!$M$1336,REPT("　",130)),5*A28+1,5)</f>
        <v>　　　　　</v>
      </c>
      <c r="AC28" s="969"/>
      <c r="AD28" s="1103" t="str">
        <f t="shared" si="0"/>
        <v>     </v>
      </c>
      <c r="AE28" s="1104"/>
      <c r="AF28" s="952" t="str">
        <f t="shared" si="1"/>
        <v> </v>
      </c>
      <c r="AG28" s="966">
        <f>MID(CONCATENATE('演算'!$M$233,'演算'!$M$500,'演算'!$M$779,'演算'!$M$1058,'演算'!$M$1337),5*A28+1,5)</f>
      </c>
      <c r="AH28" s="1104">
        <f t="shared" si="2"/>
      </c>
      <c r="AI28" s="1105"/>
      <c r="AJ28" s="953">
        <f>WIDECHAR(MID(CONCATENATE('演算'!$M$234,'演算'!$M$501,'演算'!$M$780,'演算'!$M$1059,'演算'!$M$1338),A28+1,1))</f>
      </c>
      <c r="AL28" s="184">
        <v>22</v>
      </c>
    </row>
    <row r="29" spans="1:38" ht="18" customHeight="1">
      <c r="A29" s="65">
        <v>22</v>
      </c>
      <c r="B29" s="1121">
        <f>WIDECHAR(MID(CONCATENATE('演算'!$Q$10,'演算'!$Q$242,'演算'!$Q$521,'演算'!$Q$800,'演算'!$Q$1079),'演算'!$L$10*A29+1,'演算'!$L$10))</f>
      </c>
      <c r="C29" s="1123"/>
      <c r="D29" s="961">
        <f>WIDECHAR(MID(CONCATENATE('演算'!$Q$18,'演算'!$Q$254,'演算'!$Q$533,'演算'!$Q$812,'演算'!$Q$1091),'演算'!$L$18*A29+1,'演算'!$L$18))</f>
      </c>
      <c r="E29" s="972"/>
      <c r="F29" s="972"/>
      <c r="G29" s="972"/>
      <c r="H29" s="973"/>
      <c r="I29" s="1121">
        <f>WIDECHAR(MID(CONCATENATE('演算'!$Q$25,'演算'!$Q$265,'演算'!$Q$544,'演算'!$Q$823,'演算'!$Q$1102),'演算'!$L$25*A29+1,'演算'!$L$25))</f>
      </c>
      <c r="J29" s="1122"/>
      <c r="K29" s="1122"/>
      <c r="L29" s="961">
        <f>WIDECHAR(MID(CONCATENATE('演算'!$M$229,'演算'!$M$496,'演算'!$M$775,'演算'!$M$1054,'演算'!$M$1333),'演算'!$L$32*A29+1,'演算'!$L$32))</f>
      </c>
      <c r="M29" s="967"/>
      <c r="N29" s="967"/>
      <c r="O29" s="972"/>
      <c r="P29" s="972"/>
      <c r="Q29" s="972"/>
      <c r="R29" s="972"/>
      <c r="S29" s="972"/>
      <c r="T29" s="972"/>
      <c r="U29" s="973"/>
      <c r="V29" s="961">
        <f>WIDECHAR(MID(CONCATENATE('演算'!$M$230,'演算'!$M$497,'演算'!$M$776,'演算'!$M$1055,'演算'!$M$1334),'演算'!$L$40*A29+1,'演算'!$L$40))</f>
      </c>
      <c r="W29" s="972"/>
      <c r="X29" s="973"/>
      <c r="Y29" s="1103">
        <f>WIDECHAR(MID(CONCATENATE('演算'!$M$231,'演算'!$M$498,'演算'!$M$777,'演算'!$M$1056,'演算'!$M$1335),'演算'!$L$49*A29+1,'演算'!$L$49))</f>
      </c>
      <c r="Z29" s="1104"/>
      <c r="AA29" s="1105"/>
      <c r="AB29" s="964" t="str">
        <f>MID(CONCATENATE('演算'!$M$232,'演算'!$M$499,'演算'!$M$778,'演算'!$M$1057,'演算'!$M$1336,REPT("　",130)),5*A29+1,5)</f>
        <v>　　　　　</v>
      </c>
      <c r="AC29" s="969"/>
      <c r="AD29" s="1103" t="str">
        <f t="shared" si="0"/>
        <v>     </v>
      </c>
      <c r="AE29" s="1104"/>
      <c r="AF29" s="952" t="str">
        <f t="shared" si="1"/>
        <v> </v>
      </c>
      <c r="AG29" s="966">
        <f>MID(CONCATENATE('演算'!$M$233,'演算'!$M$500,'演算'!$M$779,'演算'!$M$1058,'演算'!$M$1337),5*A29+1,5)</f>
      </c>
      <c r="AH29" s="1104">
        <f t="shared" si="2"/>
      </c>
      <c r="AI29" s="1105"/>
      <c r="AJ29" s="953">
        <f>WIDECHAR(MID(CONCATENATE('演算'!$M$234,'演算'!$M$501,'演算'!$M$780,'演算'!$M$1059,'演算'!$M$1338),A29+1,1))</f>
      </c>
      <c r="AL29" s="184">
        <v>23</v>
      </c>
    </row>
    <row r="30" spans="1:38" ht="18" customHeight="1">
      <c r="A30" s="65">
        <v>23</v>
      </c>
      <c r="B30" s="1121">
        <f>WIDECHAR(MID(CONCATENATE('演算'!$Q$10,'演算'!$Q$242,'演算'!$Q$521,'演算'!$Q$800,'演算'!$Q$1079),'演算'!$L$10*A30+1,'演算'!$L$10))</f>
      </c>
      <c r="C30" s="1123"/>
      <c r="D30" s="961">
        <f>WIDECHAR(MID(CONCATENATE('演算'!$Q$18,'演算'!$Q$254,'演算'!$Q$533,'演算'!$Q$812,'演算'!$Q$1091),'演算'!$L$18*A30+1,'演算'!$L$18))</f>
      </c>
      <c r="E30" s="972"/>
      <c r="F30" s="972"/>
      <c r="G30" s="972"/>
      <c r="H30" s="973"/>
      <c r="I30" s="1121">
        <f>WIDECHAR(MID(CONCATENATE('演算'!$Q$25,'演算'!$Q$265,'演算'!$Q$544,'演算'!$Q$823,'演算'!$Q$1102),'演算'!$L$25*A30+1,'演算'!$L$25))</f>
      </c>
      <c r="J30" s="1122"/>
      <c r="K30" s="1122"/>
      <c r="L30" s="961">
        <f>WIDECHAR(MID(CONCATENATE('演算'!$M$229,'演算'!$M$496,'演算'!$M$775,'演算'!$M$1054,'演算'!$M$1333),'演算'!$L$32*A30+1,'演算'!$L$32))</f>
      </c>
      <c r="M30" s="967"/>
      <c r="N30" s="967"/>
      <c r="O30" s="972"/>
      <c r="P30" s="972"/>
      <c r="Q30" s="972"/>
      <c r="R30" s="972"/>
      <c r="S30" s="972"/>
      <c r="T30" s="972"/>
      <c r="U30" s="973"/>
      <c r="V30" s="961">
        <f>WIDECHAR(MID(CONCATENATE('演算'!$M$230,'演算'!$M$497,'演算'!$M$776,'演算'!$M$1055,'演算'!$M$1334),'演算'!$L$40*A30+1,'演算'!$L$40))</f>
      </c>
      <c r="W30" s="972"/>
      <c r="X30" s="973"/>
      <c r="Y30" s="1103">
        <f>WIDECHAR(MID(CONCATENATE('演算'!$M$231,'演算'!$M$498,'演算'!$M$777,'演算'!$M$1056,'演算'!$M$1335),'演算'!$L$49*A30+1,'演算'!$L$49))</f>
      </c>
      <c r="Z30" s="1104"/>
      <c r="AA30" s="1105"/>
      <c r="AB30" s="964" t="str">
        <f>MID(CONCATENATE('演算'!$M$232,'演算'!$M$499,'演算'!$M$778,'演算'!$M$1057,'演算'!$M$1336,REPT("　",130)),5*A30+1,5)</f>
        <v>　　　　　</v>
      </c>
      <c r="AC30" s="969"/>
      <c r="AD30" s="1103" t="str">
        <f t="shared" si="0"/>
        <v>     </v>
      </c>
      <c r="AE30" s="1104"/>
      <c r="AF30" s="952" t="str">
        <f t="shared" si="1"/>
        <v> </v>
      </c>
      <c r="AG30" s="966">
        <f>MID(CONCATENATE('演算'!$M$233,'演算'!$M$500,'演算'!$M$779,'演算'!$M$1058,'演算'!$M$1337),5*A30+1,5)</f>
      </c>
      <c r="AH30" s="1104">
        <f t="shared" si="2"/>
      </c>
      <c r="AI30" s="1105"/>
      <c r="AJ30" s="953">
        <f>WIDECHAR(MID(CONCATENATE('演算'!$M$234,'演算'!$M$501,'演算'!$M$780,'演算'!$M$1059,'演算'!$M$1338),A30+1,1))</f>
      </c>
      <c r="AL30" s="184">
        <v>24</v>
      </c>
    </row>
    <row r="31" spans="1:38" ht="18" customHeight="1">
      <c r="A31" s="65">
        <v>24</v>
      </c>
      <c r="B31" s="1121">
        <f>WIDECHAR(MID(CONCATENATE('演算'!$Q$10,'演算'!$Q$242,'演算'!$Q$521,'演算'!$Q$800,'演算'!$Q$1079),'演算'!$L$10*A31+1,'演算'!$L$10))</f>
      </c>
      <c r="C31" s="1123"/>
      <c r="D31" s="961">
        <f>WIDECHAR(MID(CONCATENATE('演算'!$Q$18,'演算'!$Q$254,'演算'!$Q$533,'演算'!$Q$812,'演算'!$Q$1091),'演算'!$L$18*A31+1,'演算'!$L$18))</f>
      </c>
      <c r="E31" s="974"/>
      <c r="F31" s="974"/>
      <c r="G31" s="974"/>
      <c r="H31" s="975"/>
      <c r="I31" s="1121">
        <f>WIDECHAR(MID(CONCATENATE('演算'!$Q$25,'演算'!$Q$265,'演算'!$Q$544,'演算'!$Q$823,'演算'!$Q$1102),'演算'!$L$25*A31+1,'演算'!$L$25))</f>
      </c>
      <c r="J31" s="1122"/>
      <c r="K31" s="1122"/>
      <c r="L31" s="961">
        <f>WIDECHAR(MID(CONCATENATE('演算'!$M$229,'演算'!$M$496,'演算'!$M$775,'演算'!$M$1054,'演算'!$M$1333),'演算'!$L$32*A31+1,'演算'!$L$32))</f>
      </c>
      <c r="M31" s="967"/>
      <c r="N31" s="967"/>
      <c r="O31" s="974"/>
      <c r="P31" s="974"/>
      <c r="Q31" s="974"/>
      <c r="R31" s="974"/>
      <c r="S31" s="974"/>
      <c r="T31" s="974"/>
      <c r="U31" s="975"/>
      <c r="V31" s="961">
        <f>WIDECHAR(MID(CONCATENATE('演算'!$M$230,'演算'!$M$497,'演算'!$M$776,'演算'!$M$1055,'演算'!$M$1334),'演算'!$L$40*A31+1,'演算'!$L$40))</f>
      </c>
      <c r="W31" s="974"/>
      <c r="X31" s="975"/>
      <c r="Y31" s="1103">
        <f>WIDECHAR(MID(CONCATENATE('演算'!$M$231,'演算'!$M$498,'演算'!$M$777,'演算'!$M$1056,'演算'!$M$1335),'演算'!$L$49*A31+1,'演算'!$L$49))</f>
      </c>
      <c r="Z31" s="1104"/>
      <c r="AA31" s="1105"/>
      <c r="AB31" s="964" t="str">
        <f>MID(CONCATENATE('演算'!$M$232,'演算'!$M$499,'演算'!$M$778,'演算'!$M$1057,'演算'!$M$1336,REPT("　",130)),5*A31+1,5)</f>
        <v>　　　　　</v>
      </c>
      <c r="AC31" s="969"/>
      <c r="AD31" s="1103" t="str">
        <f t="shared" si="0"/>
        <v>     </v>
      </c>
      <c r="AE31" s="1104"/>
      <c r="AF31" s="952" t="str">
        <f t="shared" si="1"/>
        <v> </v>
      </c>
      <c r="AG31" s="966">
        <f>MID(CONCATENATE('演算'!$M$233,'演算'!$M$500,'演算'!$M$779,'演算'!$M$1058,'演算'!$M$1337),5*A31+1,5)</f>
      </c>
      <c r="AH31" s="1104">
        <f t="shared" si="2"/>
      </c>
      <c r="AI31" s="1105"/>
      <c r="AJ31" s="953">
        <f>WIDECHAR(MID(CONCATENATE('演算'!$M$234,'演算'!$M$501,'演算'!$M$780,'演算'!$M$1059,'演算'!$M$1338),A31+1,1))</f>
      </c>
      <c r="AL31" s="184">
        <v>25</v>
      </c>
    </row>
    <row r="32" spans="1:38" ht="18" customHeight="1">
      <c r="A32" s="65">
        <v>25</v>
      </c>
      <c r="B32" s="1121">
        <f>WIDECHAR(MID(CONCATENATE('演算'!$Q$10,'演算'!$Q$242,'演算'!$Q$521,'演算'!$Q$800,'演算'!$Q$1079),'演算'!$L$10*A32+1,'演算'!$L$10))</f>
      </c>
      <c r="C32" s="1123"/>
      <c r="D32" s="961">
        <f>WIDECHAR(MID(CONCATENATE('演算'!$Q$18,'演算'!$Q$254,'演算'!$Q$533,'演算'!$Q$812,'演算'!$Q$1091),'演算'!$L$18*A32+1,'演算'!$L$18))</f>
      </c>
      <c r="E32" s="974"/>
      <c r="F32" s="974"/>
      <c r="G32" s="974"/>
      <c r="H32" s="975"/>
      <c r="I32" s="1121">
        <f>WIDECHAR(MID(CONCATENATE('演算'!$Q$25,'演算'!$Q$265,'演算'!$Q$544,'演算'!$Q$823,'演算'!$Q$1102),'演算'!$L$25*A32+1,'演算'!$L$25))</f>
      </c>
      <c r="J32" s="1122"/>
      <c r="K32" s="1122"/>
      <c r="L32" s="961">
        <f>WIDECHAR(MID(CONCATENATE('演算'!$M$229,'演算'!$M$496,'演算'!$M$775,'演算'!$M$1054,'演算'!$M$1333),'演算'!$L$32*A32+1,'演算'!$L$32))</f>
      </c>
      <c r="M32" s="967"/>
      <c r="N32" s="967"/>
      <c r="O32" s="974"/>
      <c r="P32" s="974"/>
      <c r="Q32" s="974"/>
      <c r="R32" s="974"/>
      <c r="S32" s="974"/>
      <c r="T32" s="974"/>
      <c r="U32" s="975"/>
      <c r="V32" s="961">
        <f>WIDECHAR(MID(CONCATENATE('演算'!$M$230,'演算'!$M$497,'演算'!$M$776,'演算'!$M$1055,'演算'!$M$1334),'演算'!$L$40*A32+1,'演算'!$L$40))</f>
      </c>
      <c r="W32" s="974"/>
      <c r="X32" s="975"/>
      <c r="Y32" s="1103">
        <f>WIDECHAR(MID(CONCATENATE('演算'!$M$231,'演算'!$M$498,'演算'!$M$777,'演算'!$M$1056,'演算'!$M$1335),'演算'!$L$49*A32+1,'演算'!$L$49))</f>
      </c>
      <c r="Z32" s="1104"/>
      <c r="AA32" s="1105"/>
      <c r="AB32" s="964" t="str">
        <f>MID(CONCATENATE('演算'!$M$232,'演算'!$M$499,'演算'!$M$778,'演算'!$M$1057,'演算'!$M$1336,REPT("　",130)),5*A32+1,5)</f>
        <v>　　　　　</v>
      </c>
      <c r="AC32" s="969"/>
      <c r="AD32" s="1103" t="str">
        <f t="shared" si="0"/>
        <v>     </v>
      </c>
      <c r="AE32" s="1104"/>
      <c r="AF32" s="952" t="str">
        <f t="shared" si="1"/>
        <v> </v>
      </c>
      <c r="AG32" s="966">
        <f>MID(CONCATENATE('演算'!$M$233,'演算'!$M$500,'演算'!$M$779,'演算'!$M$1058,'演算'!$M$1337),5*A32+1,5)</f>
      </c>
      <c r="AH32" s="1104">
        <f t="shared" si="2"/>
      </c>
      <c r="AI32" s="1105"/>
      <c r="AJ32" s="953">
        <f>WIDECHAR(MID(CONCATENATE('演算'!$M$234,'演算'!$M$501,'演算'!$M$780,'演算'!$M$1059,'演算'!$M$1338),A32+1,1))</f>
      </c>
      <c r="AL32" s="184">
        <v>26</v>
      </c>
    </row>
    <row r="33" spans="1:38" ht="18" customHeight="1">
      <c r="A33" s="799">
        <v>26</v>
      </c>
      <c r="B33" s="1121">
        <f>WIDECHAR(MID(CONCATENATE('演算'!$Q$10,'演算'!$Q$242,'演算'!$Q$521,'演算'!$Q$800,'演算'!$Q$1079),'演算'!$L$10*A33+1,'演算'!$L$10))</f>
      </c>
      <c r="C33" s="1123"/>
      <c r="D33" s="961">
        <f>WIDECHAR(MID(CONCATENATE('演算'!$Q$18,'演算'!$Q$254,'演算'!$Q$533,'演算'!$Q$812,'演算'!$Q$1091),'演算'!$L$18*A33+1,'演算'!$L$18))</f>
      </c>
      <c r="E33" s="976"/>
      <c r="F33" s="976"/>
      <c r="G33" s="976"/>
      <c r="H33" s="1000"/>
      <c r="I33" s="1121">
        <f>WIDECHAR(MID(CONCATENATE('演算'!$Q$25,'演算'!$Q$265,'演算'!$Q$544,'演算'!$Q$823,'演算'!$Q$1102),'演算'!$L$25*A33+1,'演算'!$L$25))</f>
      </c>
      <c r="J33" s="1122"/>
      <c r="K33" s="1122"/>
      <c r="L33" s="961">
        <f>WIDECHAR(MID(CONCATENATE('演算'!$M$229,'演算'!$M$496,'演算'!$M$775,'演算'!$M$1054,'演算'!$M$1333),'演算'!$L$32*A33+1,'演算'!$L$32))</f>
      </c>
      <c r="M33" s="970"/>
      <c r="N33" s="970"/>
      <c r="O33" s="976"/>
      <c r="P33" s="976"/>
      <c r="Q33" s="976"/>
      <c r="R33" s="976"/>
      <c r="S33" s="976"/>
      <c r="T33" s="976"/>
      <c r="U33" s="977"/>
      <c r="V33" s="961">
        <f>WIDECHAR(MID(CONCATENATE('演算'!$M$230,'演算'!$M$497,'演算'!$M$776,'演算'!$M$1055,'演算'!$M$1334),'演算'!$L$40*A33+1,'演算'!$L$40))</f>
      </c>
      <c r="W33" s="976"/>
      <c r="X33" s="977"/>
      <c r="Y33" s="1103">
        <f>WIDECHAR(MID(CONCATENATE('演算'!$M$231,'演算'!$M$498,'演算'!$M$777,'演算'!$M$1056,'演算'!$M$1335),'演算'!$L$49*A33+1,'演算'!$L$49))</f>
      </c>
      <c r="Z33" s="1104"/>
      <c r="AA33" s="1105"/>
      <c r="AB33" s="964" t="str">
        <f>MID(CONCATENATE('演算'!$M$232,'演算'!$M$499,'演算'!$M$778,'演算'!$M$1057,'演算'!$M$1336,REPT("　",130)),5*A33+1,5)</f>
        <v>　　　　　</v>
      </c>
      <c r="AC33" s="978"/>
      <c r="AD33" s="1106" t="str">
        <f>ASC(AB33)</f>
        <v>     </v>
      </c>
      <c r="AE33" s="1107"/>
      <c r="AF33" s="979" t="str">
        <f>IF(AB33=0,"　",IF(AB33=REPT("　",5)," ","～"))</f>
        <v> </v>
      </c>
      <c r="AG33" s="966">
        <f>MID(CONCATENATE('演算'!$M$233,'演算'!$M$500,'演算'!$M$779,'演算'!$M$1058,'演算'!$M$1337),5*A33+1,5)</f>
      </c>
      <c r="AH33" s="1107">
        <f>ASC(AG33)</f>
      </c>
      <c r="AI33" s="1098"/>
      <c r="AJ33" s="953">
        <f>WIDECHAR(MID(CONCATENATE('演算'!$M$234,'演算'!$M$501,'演算'!$M$780,'演算'!$M$1059,'演算'!$M$1338),A33+1,1))</f>
      </c>
      <c r="AL33" s="184">
        <v>27</v>
      </c>
    </row>
    <row r="34" spans="1:36" ht="6" customHeight="1">
      <c r="A34" s="180"/>
      <c r="B34" s="803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803"/>
      <c r="AB34" s="980"/>
      <c r="AC34" s="948"/>
      <c r="AD34" s="948"/>
      <c r="AE34" s="948"/>
      <c r="AF34" s="948"/>
      <c r="AG34" s="948"/>
      <c r="AH34" s="948"/>
      <c r="AI34" s="948"/>
      <c r="AJ34" s="803"/>
    </row>
    <row r="35" spans="2:36" ht="15" customHeight="1">
      <c r="B35" s="981"/>
      <c r="C35" s="981"/>
      <c r="D35" s="981"/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1"/>
      <c r="P35" s="981"/>
      <c r="Q35" s="981"/>
      <c r="R35" s="981"/>
      <c r="S35" s="981"/>
      <c r="T35" s="981"/>
      <c r="U35" s="981"/>
      <c r="V35" s="981"/>
      <c r="W35" s="814"/>
      <c r="X35" s="1108" t="s">
        <v>319</v>
      </c>
      <c r="Y35" s="1108"/>
      <c r="Z35" s="1108">
        <f>IF('記入シート'!R16=0,"",WIDECHAR('記入シート'!R16))</f>
      </c>
      <c r="AA35" s="1108"/>
      <c r="AB35" s="958" t="s">
        <v>405</v>
      </c>
      <c r="AC35" s="958" t="s">
        <v>405</v>
      </c>
      <c r="AD35" s="958" t="s">
        <v>405</v>
      </c>
      <c r="AE35" s="982">
        <f>IF('記入シート'!V16=0,"",WIDECHAR('記入シート'!V16))</f>
      </c>
      <c r="AF35" s="949" t="s">
        <v>406</v>
      </c>
      <c r="AG35" s="949"/>
      <c r="AH35" s="949">
        <f>IF('記入シート'!Y16=0,"",WIDECHAR('記入シート'!Y16))</f>
      </c>
      <c r="AI35" s="949" t="s">
        <v>409</v>
      </c>
      <c r="AJ35" s="981"/>
    </row>
  </sheetData>
  <sheetProtection sheet="1" objects="1" scenarios="1" selectLockedCells="1" selectUnlockedCells="1"/>
  <mergeCells count="154">
    <mergeCell ref="Z1:AA1"/>
    <mergeCell ref="D1:U1"/>
    <mergeCell ref="I31:K31"/>
    <mergeCell ref="I32:K32"/>
    <mergeCell ref="I33:K33"/>
    <mergeCell ref="I27:K27"/>
    <mergeCell ref="I28:K28"/>
    <mergeCell ref="I29:K29"/>
    <mergeCell ref="I30:K30"/>
    <mergeCell ref="I23:K23"/>
    <mergeCell ref="I24:K24"/>
    <mergeCell ref="I25:K25"/>
    <mergeCell ref="I26:K26"/>
    <mergeCell ref="U3:Y3"/>
    <mergeCell ref="K3:L3"/>
    <mergeCell ref="X35:Y35"/>
    <mergeCell ref="Z35:AA35"/>
    <mergeCell ref="I15:K15"/>
    <mergeCell ref="I16:K16"/>
    <mergeCell ref="I17:K17"/>
    <mergeCell ref="I18:K18"/>
    <mergeCell ref="I19:K19"/>
    <mergeCell ref="I20:K20"/>
    <mergeCell ref="I12:K12"/>
    <mergeCell ref="I13:K13"/>
    <mergeCell ref="I14:K14"/>
    <mergeCell ref="I21:K21"/>
    <mergeCell ref="I8:K8"/>
    <mergeCell ref="I9:K9"/>
    <mergeCell ref="I10:K10"/>
    <mergeCell ref="I11:K11"/>
    <mergeCell ref="I6:K6"/>
    <mergeCell ref="D6:H6"/>
    <mergeCell ref="H3:I3"/>
    <mergeCell ref="I7:K7"/>
    <mergeCell ref="D5:K5"/>
    <mergeCell ref="Y30:AA30"/>
    <mergeCell ref="Y31:AA31"/>
    <mergeCell ref="Y32:AA32"/>
    <mergeCell ref="Y33:AA33"/>
    <mergeCell ref="Y26:AA26"/>
    <mergeCell ref="Y27:AA27"/>
    <mergeCell ref="Y28:AA28"/>
    <mergeCell ref="Y29:AA29"/>
    <mergeCell ref="Y22:AA22"/>
    <mergeCell ref="Y23:AA23"/>
    <mergeCell ref="Y24:AA24"/>
    <mergeCell ref="Y25:AA25"/>
    <mergeCell ref="Y18:AA18"/>
    <mergeCell ref="Y19:AA19"/>
    <mergeCell ref="Y20:AA20"/>
    <mergeCell ref="Y21:AA21"/>
    <mergeCell ref="Y14:AA14"/>
    <mergeCell ref="Y15:AA15"/>
    <mergeCell ref="Y16:AA16"/>
    <mergeCell ref="Y17:AA17"/>
    <mergeCell ref="Y10:AA10"/>
    <mergeCell ref="Y11:AA11"/>
    <mergeCell ref="Y12:AA12"/>
    <mergeCell ref="Y13:AA13"/>
    <mergeCell ref="Y7:AA7"/>
    <mergeCell ref="Y6:AA6"/>
    <mergeCell ref="Y8:AA8"/>
    <mergeCell ref="Y9:AA9"/>
    <mergeCell ref="AD30:AE30"/>
    <mergeCell ref="AH30:AI30"/>
    <mergeCell ref="AD33:AE33"/>
    <mergeCell ref="AH33:AI33"/>
    <mergeCell ref="AD31:AE31"/>
    <mergeCell ref="AH31:AI31"/>
    <mergeCell ref="AD32:AE32"/>
    <mergeCell ref="AH32:AI32"/>
    <mergeCell ref="AD28:AE28"/>
    <mergeCell ref="AH28:AI28"/>
    <mergeCell ref="AD29:AE29"/>
    <mergeCell ref="AH29:AI29"/>
    <mergeCell ref="AD26:AE26"/>
    <mergeCell ref="AH26:AI26"/>
    <mergeCell ref="AD27:AE27"/>
    <mergeCell ref="AH27:AI27"/>
    <mergeCell ref="AD24:AE24"/>
    <mergeCell ref="AH24:AI24"/>
    <mergeCell ref="AD25:AE25"/>
    <mergeCell ref="AH25:AI25"/>
    <mergeCell ref="AD22:AE22"/>
    <mergeCell ref="AH22:AI22"/>
    <mergeCell ref="AD23:AE23"/>
    <mergeCell ref="AH23:AI23"/>
    <mergeCell ref="AD20:AE20"/>
    <mergeCell ref="AH20:AI20"/>
    <mergeCell ref="AD21:AE21"/>
    <mergeCell ref="AH21:AI21"/>
    <mergeCell ref="AD18:AE18"/>
    <mergeCell ref="AH18:AI18"/>
    <mergeCell ref="AD19:AE19"/>
    <mergeCell ref="AH19:AI19"/>
    <mergeCell ref="AD16:AE16"/>
    <mergeCell ref="AH16:AI16"/>
    <mergeCell ref="AD17:AE17"/>
    <mergeCell ref="AH17:AI17"/>
    <mergeCell ref="AD14:AE14"/>
    <mergeCell ref="AH14:AI14"/>
    <mergeCell ref="AD15:AE15"/>
    <mergeCell ref="AH15:AI15"/>
    <mergeCell ref="AD12:AE12"/>
    <mergeCell ref="AH12:AI12"/>
    <mergeCell ref="AD13:AE13"/>
    <mergeCell ref="AH13:AI13"/>
    <mergeCell ref="AH9:AI9"/>
    <mergeCell ref="AD10:AE10"/>
    <mergeCell ref="AH10:AI10"/>
    <mergeCell ref="AD11:AE11"/>
    <mergeCell ref="AH11:AI11"/>
    <mergeCell ref="L5:AJ5"/>
    <mergeCell ref="B13:C13"/>
    <mergeCell ref="B12:C12"/>
    <mergeCell ref="B11:C11"/>
    <mergeCell ref="B10:C10"/>
    <mergeCell ref="AD7:AE7"/>
    <mergeCell ref="AH7:AI7"/>
    <mergeCell ref="AD8:AE8"/>
    <mergeCell ref="AH8:AI8"/>
    <mergeCell ref="AD9:AE9"/>
    <mergeCell ref="B16:C16"/>
    <mergeCell ref="B15:C15"/>
    <mergeCell ref="B14:C14"/>
    <mergeCell ref="B9:C9"/>
    <mergeCell ref="B20:C20"/>
    <mergeCell ref="B19:C19"/>
    <mergeCell ref="B18:C18"/>
    <mergeCell ref="B17:C17"/>
    <mergeCell ref="B25:C25"/>
    <mergeCell ref="B26:C26"/>
    <mergeCell ref="B27:C27"/>
    <mergeCell ref="B21:C21"/>
    <mergeCell ref="B7:C7"/>
    <mergeCell ref="B8:C8"/>
    <mergeCell ref="B5:C5"/>
    <mergeCell ref="B4:AJ4"/>
    <mergeCell ref="C3:D3"/>
    <mergeCell ref="L6:U6"/>
    <mergeCell ref="V6:X6"/>
    <mergeCell ref="AB6:AI6"/>
    <mergeCell ref="B6:C6"/>
    <mergeCell ref="I22:K22"/>
    <mergeCell ref="B33:C33"/>
    <mergeCell ref="B29:C29"/>
    <mergeCell ref="B30:C30"/>
    <mergeCell ref="B31:C31"/>
    <mergeCell ref="B32:C32"/>
    <mergeCell ref="B28:C28"/>
    <mergeCell ref="B22:C22"/>
    <mergeCell ref="B23:C23"/>
    <mergeCell ref="B24:C24"/>
  </mergeCells>
  <printOptions horizontalCentered="1"/>
  <pageMargins left="0" right="0" top="0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B1">
      <selection activeCell="D1" sqref="D1:U1"/>
    </sheetView>
  </sheetViews>
  <sheetFormatPr defaultColWidth="9.00390625" defaultRowHeight="13.5"/>
  <cols>
    <col min="1" max="1" width="4.125" style="0" hidden="1" customWidth="1"/>
    <col min="2" max="2" width="6.50390625" style="0" customWidth="1"/>
    <col min="3" max="3" width="15.75390625" style="0" customWidth="1"/>
    <col min="4" max="4" width="4.375" style="0" customWidth="1"/>
    <col min="5" max="6" width="2.50390625" style="0" customWidth="1"/>
    <col min="7" max="7" width="6.25390625" style="0" customWidth="1"/>
    <col min="8" max="8" width="3.125" style="0" customWidth="1"/>
    <col min="9" max="9" width="15.625" style="0" customWidth="1"/>
    <col min="10" max="10" width="2.50390625" style="0" customWidth="1"/>
    <col min="11" max="11" width="0.6171875" style="0" customWidth="1"/>
    <col min="12" max="12" width="5.75390625" style="0" customWidth="1"/>
    <col min="13" max="13" width="5.125" style="0" customWidth="1"/>
    <col min="14" max="14" width="2.875" style="0" customWidth="1"/>
    <col min="15" max="15" width="3.125" style="0" customWidth="1"/>
    <col min="16" max="16" width="2.375" style="0" customWidth="1"/>
    <col min="17" max="17" width="3.125" style="0" customWidth="1"/>
    <col min="18" max="19" width="2.50390625" style="0" customWidth="1"/>
    <col min="20" max="20" width="6.50390625" style="0" customWidth="1"/>
    <col min="21" max="21" width="2.25390625" style="0" customWidth="1"/>
    <col min="22" max="22" width="5.00390625" style="0" customWidth="1"/>
    <col min="23" max="23" width="4.50390625" style="0" customWidth="1"/>
    <col min="24" max="24" width="2.125" style="0" customWidth="1"/>
    <col min="25" max="25" width="6.125" style="0" customWidth="1"/>
    <col min="26" max="26" width="2.50390625" style="0" customWidth="1"/>
    <col min="27" max="27" width="3.125" style="0" customWidth="1"/>
    <col min="28" max="28" width="4.625" style="207" hidden="1" customWidth="1"/>
    <col min="29" max="29" width="4.625" style="1" hidden="1" customWidth="1"/>
    <col min="30" max="31" width="3.50390625" style="265" customWidth="1"/>
    <col min="32" max="32" width="3.625" style="1" customWidth="1"/>
    <col min="33" max="33" width="9.625" style="1" hidden="1" customWidth="1"/>
    <col min="34" max="35" width="3.625" style="190" customWidth="1"/>
    <col min="36" max="36" width="6.25390625" style="0" customWidth="1"/>
    <col min="37" max="37" width="1.25" style="0" customWidth="1"/>
    <col min="38" max="38" width="2.625" style="0" hidden="1" customWidth="1"/>
    <col min="39" max="39" width="0.6171875" style="0" customWidth="1"/>
  </cols>
  <sheetData>
    <row r="1" spans="2:36" ht="18.75" customHeight="1">
      <c r="B1" s="955" t="s">
        <v>390</v>
      </c>
      <c r="C1" s="956">
        <v>-2</v>
      </c>
      <c r="D1" s="1116" t="s">
        <v>391</v>
      </c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957"/>
      <c r="W1" s="957"/>
      <c r="X1" s="957"/>
      <c r="Y1" s="996" t="s">
        <v>499</v>
      </c>
      <c r="Z1" s="1100">
        <f>IF('記入シート'!C9="","",WIDECHAR('記入シート'!C9))</f>
      </c>
      <c r="AA1" s="1100"/>
      <c r="AB1" s="996"/>
      <c r="AC1" s="996"/>
      <c r="AD1" s="996" t="s">
        <v>405</v>
      </c>
      <c r="AE1" s="996">
        <f>IF('記入シート'!E9="","",WIDECHAR('記入シート'!E9))</f>
      </c>
      <c r="AF1" s="996" t="s">
        <v>406</v>
      </c>
      <c r="AG1" s="996"/>
      <c r="AH1" s="996">
        <f>IF('記入シート'!H9="","",WIDECHAR('記入シート'!H9))</f>
      </c>
      <c r="AI1" s="996" t="s">
        <v>500</v>
      </c>
      <c r="AJ1" s="957"/>
    </row>
    <row r="2" spans="2:36" ht="11.25" customHeigh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 t="s">
        <v>72</v>
      </c>
      <c r="AB2" s="814"/>
      <c r="AC2" s="814"/>
      <c r="AD2" s="814"/>
      <c r="AE2" s="814"/>
      <c r="AF2" s="814"/>
      <c r="AG2" s="814"/>
      <c r="AH2" s="814"/>
      <c r="AI2" s="814"/>
      <c r="AJ2" s="814"/>
    </row>
    <row r="3" spans="2:36" ht="15" customHeight="1">
      <c r="B3" s="958" t="s">
        <v>392</v>
      </c>
      <c r="C3" s="1109" t="str">
        <f>IF('記入シート'!C6=0," ",IF(LEN('記入シート'!C6)&gt;10,"※　文字数過多　※",WIDECHAR(LEFT('記入シート'!C6,10))))</f>
        <v> </v>
      </c>
      <c r="D3" s="1109"/>
      <c r="E3" s="950" t="s">
        <v>393</v>
      </c>
      <c r="F3" s="959"/>
      <c r="G3" s="949" t="s">
        <v>401</v>
      </c>
      <c r="H3" s="1109" t="str">
        <f>IF('記入シート'!C13=0," ",IF(LEN('記入シート'!C13)&gt;10,"※　文字数過多　※",WIDECHAR(LEFT('記入シート'!C13,10))))</f>
        <v> </v>
      </c>
      <c r="I3" s="1109"/>
      <c r="J3" s="959"/>
      <c r="K3" s="1100" t="s">
        <v>407</v>
      </c>
      <c r="L3" s="1100"/>
      <c r="M3" s="996">
        <f>IF('記入シート'!$C$16="","",WIDECHAR('記入シート'!$C$16))</f>
      </c>
      <c r="N3" s="996" t="s">
        <v>405</v>
      </c>
      <c r="O3" s="996">
        <f>IF('記入シート'!$E$16="","",WIDECHAR('記入シート'!$E$16))</f>
      </c>
      <c r="P3" s="1003" t="s">
        <v>406</v>
      </c>
      <c r="Q3" s="1001">
        <f>IF('記入シート'!H16="","",WIDECHAR('記入シート'!H16))</f>
      </c>
      <c r="R3" s="997" t="s">
        <v>409</v>
      </c>
      <c r="T3" s="954" t="s">
        <v>410</v>
      </c>
      <c r="U3" s="1109" t="str">
        <f>IF('記入シート'!C20=0," ",IF(LEN('記入シート'!C20)&gt;10,"※　文字数過多　※",WIDECHAR(LEFT('記入シート'!C20,10))))</f>
        <v> </v>
      </c>
      <c r="V3" s="1109"/>
      <c r="W3" s="1109"/>
      <c r="X3" s="1109"/>
      <c r="Y3" s="1109"/>
      <c r="Z3" s="814"/>
      <c r="AA3" s="982" t="s">
        <v>71</v>
      </c>
      <c r="AB3" s="982"/>
      <c r="AC3" s="982"/>
      <c r="AD3" s="982"/>
      <c r="AE3" s="982"/>
      <c r="AF3" s="982"/>
      <c r="AG3" s="982"/>
      <c r="AH3" s="982"/>
      <c r="AI3" s="982"/>
      <c r="AJ3" s="982"/>
    </row>
    <row r="4" spans="2:36" ht="6" customHeight="1"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8"/>
      <c r="AE4" s="1108"/>
      <c r="AF4" s="1108"/>
      <c r="AG4" s="1108"/>
      <c r="AH4" s="1108"/>
      <c r="AI4" s="1108"/>
      <c r="AJ4" s="1108"/>
    </row>
    <row r="5" spans="2:36" ht="17.25" customHeight="1">
      <c r="B5" s="1119" t="s">
        <v>394</v>
      </c>
      <c r="C5" s="1120"/>
      <c r="D5" s="1110" t="s">
        <v>395</v>
      </c>
      <c r="E5" s="1111"/>
      <c r="F5" s="1111"/>
      <c r="G5" s="1111"/>
      <c r="H5" s="1111"/>
      <c r="I5" s="1111"/>
      <c r="J5" s="1111"/>
      <c r="K5" s="1111"/>
      <c r="L5" s="1110" t="s">
        <v>396</v>
      </c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111"/>
      <c r="AE5" s="1111"/>
      <c r="AF5" s="1111"/>
      <c r="AG5" s="1111"/>
      <c r="AH5" s="1111"/>
      <c r="AI5" s="1111"/>
      <c r="AJ5" s="1112"/>
    </row>
    <row r="6" spans="2:36" ht="17.25" customHeight="1">
      <c r="B6" s="1113" t="s">
        <v>397</v>
      </c>
      <c r="C6" s="1114"/>
      <c r="D6" s="1110" t="s">
        <v>398</v>
      </c>
      <c r="E6" s="1111"/>
      <c r="F6" s="1111"/>
      <c r="G6" s="1111"/>
      <c r="H6" s="1112"/>
      <c r="I6" s="1110" t="s">
        <v>399</v>
      </c>
      <c r="J6" s="1111"/>
      <c r="K6" s="1111"/>
      <c r="L6" s="1110" t="s">
        <v>400</v>
      </c>
      <c r="M6" s="1111"/>
      <c r="N6" s="1111"/>
      <c r="O6" s="1111"/>
      <c r="P6" s="1111"/>
      <c r="Q6" s="1111"/>
      <c r="R6" s="1111"/>
      <c r="S6" s="1111"/>
      <c r="T6" s="1111"/>
      <c r="U6" s="1112"/>
      <c r="V6" s="1110" t="s">
        <v>401</v>
      </c>
      <c r="W6" s="1111"/>
      <c r="X6" s="1112"/>
      <c r="Y6" s="1110" t="s">
        <v>402</v>
      </c>
      <c r="Z6" s="1111"/>
      <c r="AA6" s="1112"/>
      <c r="AB6" s="1110" t="s">
        <v>403</v>
      </c>
      <c r="AC6" s="1111"/>
      <c r="AD6" s="1111"/>
      <c r="AE6" s="1111"/>
      <c r="AF6" s="1111"/>
      <c r="AG6" s="1111"/>
      <c r="AH6" s="1111"/>
      <c r="AI6" s="1112"/>
      <c r="AJ6" s="960" t="s">
        <v>404</v>
      </c>
    </row>
    <row r="7" spans="1:38" s="65" customFormat="1" ht="18" customHeight="1">
      <c r="A7" s="65">
        <v>27</v>
      </c>
      <c r="B7" s="1121">
        <f>WIDECHAR(MID(CONCATENATE('演算'!$Q$10,'演算'!$Q$242,'演算'!$Q$521,'演算'!$Q$800,'演算'!$Q$1079),'演算'!$L$10*A7+1,'演算'!$L$10))</f>
      </c>
      <c r="C7" s="1123"/>
      <c r="D7" s="961">
        <f>WIDECHAR(MID(CONCATENATE('演算'!$Q$18,'演算'!$Q$254,'演算'!$Q$533,'演算'!$Q$812,'演算'!$Q$1091),'演算'!$L$18*A7+1,'演算'!$L$18))</f>
      </c>
      <c r="E7" s="962"/>
      <c r="F7" s="962"/>
      <c r="G7" s="962"/>
      <c r="H7" s="999"/>
      <c r="I7" s="1121">
        <f>WIDECHAR(MID(CONCATENATE('演算'!$Q$25,'演算'!$Q$265,'演算'!$Q$544,'演算'!$Q$823,'演算'!$Q$1102),'演算'!$L$25*A7+1,'演算'!$L$25))</f>
      </c>
      <c r="J7" s="1122"/>
      <c r="K7" s="1122"/>
      <c r="L7" s="961">
        <f>WIDECHAR(MID(CONCATENATE('演算'!$M$229,'演算'!$M$496,'演算'!$M$775,'演算'!$M$1054,'演算'!$M$1333),'演算'!$L$32*A7+1,'演算'!$L$32))</f>
      </c>
      <c r="M7" s="998"/>
      <c r="N7" s="998"/>
      <c r="O7" s="962"/>
      <c r="P7" s="962"/>
      <c r="Q7" s="962"/>
      <c r="R7" s="962"/>
      <c r="S7" s="962"/>
      <c r="T7" s="962"/>
      <c r="U7" s="963"/>
      <c r="V7" s="961">
        <f>WIDECHAR(MID(CONCATENATE('演算'!$M$230,'演算'!$M$497,'演算'!$M$776,'演算'!$M$1055,'演算'!$M$1334),'演算'!$L$40*A7+1,'演算'!$L$40))</f>
      </c>
      <c r="W7" s="962"/>
      <c r="X7" s="963"/>
      <c r="Y7" s="1103">
        <f>WIDECHAR(MID(CONCATENATE('演算'!$M$231,'演算'!$M$498,'演算'!$M$777,'演算'!$M$1056,'演算'!$M$1335),'演算'!$L$49*A7+1,'演算'!$L$49))</f>
      </c>
      <c r="Z7" s="1104"/>
      <c r="AA7" s="1105"/>
      <c r="AB7" s="964" t="str">
        <f>MID(CONCATENATE('演算'!$M$232,'演算'!$M$499,'演算'!$M$778,'演算'!$M$1057,'演算'!$M$1336,REPT("　",130)),5*A7+1,5)</f>
        <v>　　　　　</v>
      </c>
      <c r="AC7" s="965"/>
      <c r="AD7" s="1115" t="str">
        <f>ASC(AB7)</f>
        <v>     </v>
      </c>
      <c r="AE7" s="1101"/>
      <c r="AF7" s="952" t="str">
        <f>IF(AB7=0,"　",IF(AB7="　　　　　"," ","～"))</f>
        <v> </v>
      </c>
      <c r="AG7" s="966">
        <f>MID(CONCATENATE('演算'!$M$233,'演算'!$M$500,'演算'!$M$779,'演算'!$M$1058,'演算'!$M$1337),5*A7+1,5)</f>
      </c>
      <c r="AH7" s="1101">
        <f>ASC(AG7)</f>
      </c>
      <c r="AI7" s="1102"/>
      <c r="AJ7" s="953">
        <f>WIDECHAR(MID(CONCATENATE('演算'!$M$234,'演算'!$M$501,'演算'!$M$780,'演算'!$M$1059,'演算'!$M$1338),A7+1,1))</f>
      </c>
      <c r="AL7" s="184">
        <v>1</v>
      </c>
    </row>
    <row r="8" spans="1:38" s="65" customFormat="1" ht="18" customHeight="1">
      <c r="A8" s="65">
        <v>28</v>
      </c>
      <c r="B8" s="1121">
        <f>WIDECHAR(MID(CONCATENATE('演算'!$Q$10,'演算'!$Q$242,'演算'!$Q$521,'演算'!$Q$800,'演算'!$Q$1079),'演算'!$L$10*A8+1,'演算'!$L$10))</f>
      </c>
      <c r="C8" s="1123"/>
      <c r="D8" s="961">
        <f>WIDECHAR(MID(CONCATENATE('演算'!$Q$18,'演算'!$Q$254,'演算'!$Q$533,'演算'!$Q$812,'演算'!$Q$1091),'演算'!$L$18*A8+1,'演算'!$L$18))</f>
      </c>
      <c r="E8" s="967"/>
      <c r="F8" s="967"/>
      <c r="G8" s="967"/>
      <c r="H8" s="968"/>
      <c r="I8" s="1121">
        <f>WIDECHAR(MID(CONCATENATE('演算'!$Q$25,'演算'!$Q$265,'演算'!$Q$544,'演算'!$Q$823,'演算'!$Q$1102),'演算'!$L$25*A8+1,'演算'!$L$25))</f>
      </c>
      <c r="J8" s="1122"/>
      <c r="K8" s="1122"/>
      <c r="L8" s="961">
        <f>WIDECHAR(MID(CONCATENATE('演算'!$M$229,'演算'!$M$496,'演算'!$M$775,'演算'!$M$1054,'演算'!$M$1333),'演算'!$L$32*A8+1,'演算'!$L$32))</f>
      </c>
      <c r="M8" s="967"/>
      <c r="N8" s="967"/>
      <c r="O8" s="967"/>
      <c r="P8" s="967"/>
      <c r="Q8" s="967"/>
      <c r="R8" s="967"/>
      <c r="S8" s="967"/>
      <c r="T8" s="967"/>
      <c r="U8" s="968"/>
      <c r="V8" s="961">
        <f>WIDECHAR(MID(CONCATENATE('演算'!$M$230,'演算'!$M$497,'演算'!$M$776,'演算'!$M$1055,'演算'!$M$1334),'演算'!$L$40*A8+1,'演算'!$L$40))</f>
      </c>
      <c r="W8" s="967"/>
      <c r="X8" s="968"/>
      <c r="Y8" s="1103">
        <f>WIDECHAR(MID(CONCATENATE('演算'!$M$231,'演算'!$M$498,'演算'!$M$777,'演算'!$M$1056,'演算'!$M$1335),'演算'!$L$49*A8+1,'演算'!$L$49))</f>
      </c>
      <c r="Z8" s="1104"/>
      <c r="AA8" s="1105"/>
      <c r="AB8" s="964" t="str">
        <f>MID(CONCATENATE('演算'!$M$232,'演算'!$M$499,'演算'!$M$778,'演算'!$M$1057,'演算'!$M$1336,REPT("　",130)),5*A8+1,5)</f>
        <v>　　　　　</v>
      </c>
      <c r="AC8" s="969"/>
      <c r="AD8" s="1103" t="str">
        <f>ASC(AB8)</f>
        <v>     </v>
      </c>
      <c r="AE8" s="1104"/>
      <c r="AF8" s="952" t="str">
        <f>IF(AB8=0,"　",IF(AB8=REPT("　",5)," ","～"))</f>
        <v> </v>
      </c>
      <c r="AG8" s="966">
        <f>MID(CONCATENATE('演算'!$M$233,'演算'!$M$500,'演算'!$M$779,'演算'!$M$1058,'演算'!$M$1337),5*A8+1,5)</f>
      </c>
      <c r="AH8" s="1104">
        <f>ASC(AG8)</f>
      </c>
      <c r="AI8" s="1105"/>
      <c r="AJ8" s="953">
        <f>WIDECHAR(MID(CONCATENATE('演算'!$M$234,'演算'!$M$501,'演算'!$M$780,'演算'!$M$1059,'演算'!$M$1338),A8+1,1))</f>
      </c>
      <c r="AL8" s="184">
        <v>2</v>
      </c>
    </row>
    <row r="9" spans="1:38" s="65" customFormat="1" ht="18" customHeight="1">
      <c r="A9" s="65">
        <v>29</v>
      </c>
      <c r="B9" s="1121">
        <f>WIDECHAR(MID(CONCATENATE('演算'!$Q$10,'演算'!$Q$242,'演算'!$Q$521,'演算'!$Q$800,'演算'!$Q$1079),'演算'!$L$10*A9+1,'演算'!$L$10))</f>
      </c>
      <c r="C9" s="1123"/>
      <c r="D9" s="961">
        <f>WIDECHAR(MID(CONCATENATE('演算'!$Q$18,'演算'!$Q$254,'演算'!$Q$533,'演算'!$Q$812,'演算'!$Q$1091),'演算'!$L$18*A9+1,'演算'!$L$18))</f>
      </c>
      <c r="E9" s="967"/>
      <c r="F9" s="967"/>
      <c r="G9" s="967"/>
      <c r="H9" s="968"/>
      <c r="I9" s="1121">
        <f>WIDECHAR(MID(CONCATENATE('演算'!$Q$25,'演算'!$Q$265,'演算'!$Q$544,'演算'!$Q$823,'演算'!$Q$1102),'演算'!$L$25*A9+1,'演算'!$L$25))</f>
      </c>
      <c r="J9" s="1122"/>
      <c r="K9" s="1122"/>
      <c r="L9" s="961">
        <f>WIDECHAR(MID(CONCATENATE('演算'!$M$229,'演算'!$M$496,'演算'!$M$775,'演算'!$M$1054,'演算'!$M$1333),'演算'!$L$32*A9+1,'演算'!$L$32))</f>
      </c>
      <c r="M9" s="967"/>
      <c r="N9" s="967"/>
      <c r="O9" s="967"/>
      <c r="P9" s="967"/>
      <c r="Q9" s="967"/>
      <c r="R9" s="967"/>
      <c r="S9" s="967"/>
      <c r="T9" s="967"/>
      <c r="U9" s="968"/>
      <c r="V9" s="961">
        <f>WIDECHAR(MID(CONCATENATE('演算'!$M$230,'演算'!$M$497,'演算'!$M$776,'演算'!$M$1055,'演算'!$M$1334),'演算'!$L$40*A9+1,'演算'!$L$40))</f>
      </c>
      <c r="W9" s="967"/>
      <c r="X9" s="968"/>
      <c r="Y9" s="1103">
        <f>WIDECHAR(MID(CONCATENATE('演算'!$M$231,'演算'!$M$498,'演算'!$M$777,'演算'!$M$1056,'演算'!$M$1335),'演算'!$L$49*A9+1,'演算'!$L$49))</f>
      </c>
      <c r="Z9" s="1104"/>
      <c r="AA9" s="1105"/>
      <c r="AB9" s="964" t="str">
        <f>MID(CONCATENATE('演算'!$M$232,'演算'!$M$499,'演算'!$M$778,'演算'!$M$1057,'演算'!$M$1336,REPT("　",130)),5*A9+1,5)</f>
        <v>　　　　　</v>
      </c>
      <c r="AC9" s="969"/>
      <c r="AD9" s="1103" t="str">
        <f aca="true" t="shared" si="0" ref="AD9:AD32">ASC(AB9)</f>
        <v>     </v>
      </c>
      <c r="AE9" s="1104"/>
      <c r="AF9" s="952" t="str">
        <f aca="true" t="shared" si="1" ref="AF9:AF32">IF(AB9=0,"　",IF(AB9=REPT("　",5)," ","～"))</f>
        <v> </v>
      </c>
      <c r="AG9" s="966">
        <f>MID(CONCATENATE('演算'!$M$233,'演算'!$M$500,'演算'!$M$779,'演算'!$M$1058,'演算'!$M$1337),5*A9+1,5)</f>
      </c>
      <c r="AH9" s="1104">
        <f aca="true" t="shared" si="2" ref="AH9:AH32">ASC(AG9)</f>
      </c>
      <c r="AI9" s="1105"/>
      <c r="AJ9" s="953">
        <f>WIDECHAR(MID(CONCATENATE('演算'!$M$234,'演算'!$M$501,'演算'!$M$780,'演算'!$M$1059,'演算'!$M$1338),A9+1,1))</f>
      </c>
      <c r="AL9" s="184">
        <v>3</v>
      </c>
    </row>
    <row r="10" spans="1:38" s="65" customFormat="1" ht="18" customHeight="1">
      <c r="A10" s="65">
        <v>30</v>
      </c>
      <c r="B10" s="1121">
        <f>WIDECHAR(MID(CONCATENATE('演算'!$Q$10,'演算'!$Q$242,'演算'!$Q$521,'演算'!$Q$800,'演算'!$Q$1079),'演算'!$L$10*A10+1,'演算'!$L$10))</f>
      </c>
      <c r="C10" s="1123"/>
      <c r="D10" s="961">
        <f>WIDECHAR(MID(CONCATENATE('演算'!$Q$18,'演算'!$Q$254,'演算'!$Q$533,'演算'!$Q$812,'演算'!$Q$1091),'演算'!$L$18*A10+1,'演算'!$L$18))</f>
      </c>
      <c r="E10" s="967"/>
      <c r="F10" s="967"/>
      <c r="G10" s="967"/>
      <c r="H10" s="968"/>
      <c r="I10" s="1121">
        <f>WIDECHAR(MID(CONCATENATE('演算'!$Q$25,'演算'!$Q$265,'演算'!$Q$544,'演算'!$Q$823,'演算'!$Q$1102),'演算'!$L$25*A10+1,'演算'!$L$25))</f>
      </c>
      <c r="J10" s="1122"/>
      <c r="K10" s="1122"/>
      <c r="L10" s="961">
        <f>WIDECHAR(MID(CONCATENATE('演算'!$M$229,'演算'!$M$496,'演算'!$M$775,'演算'!$M$1054,'演算'!$M$1333),'演算'!$L$32*A10+1,'演算'!$L$32))</f>
      </c>
      <c r="M10" s="967"/>
      <c r="N10" s="967"/>
      <c r="O10" s="967"/>
      <c r="P10" s="967"/>
      <c r="Q10" s="967"/>
      <c r="R10" s="967"/>
      <c r="S10" s="967"/>
      <c r="T10" s="967"/>
      <c r="U10" s="968"/>
      <c r="V10" s="961">
        <f>WIDECHAR(MID(CONCATENATE('演算'!$M$230,'演算'!$M$497,'演算'!$M$776,'演算'!$M$1055,'演算'!$M$1334),'演算'!$L$40*A10+1,'演算'!$L$40))</f>
      </c>
      <c r="W10" s="967"/>
      <c r="X10" s="968"/>
      <c r="Y10" s="1103">
        <f>WIDECHAR(MID(CONCATENATE('演算'!$M$231,'演算'!$M$498,'演算'!$M$777,'演算'!$M$1056,'演算'!$M$1335),'演算'!$L$49*A10+1,'演算'!$L$49))</f>
      </c>
      <c r="Z10" s="1104"/>
      <c r="AA10" s="1105"/>
      <c r="AB10" s="964" t="str">
        <f>MID(CONCATENATE('演算'!$M$232,'演算'!$M$499,'演算'!$M$778,'演算'!$M$1057,'演算'!$M$1336,REPT("　",130)),5*A10+1,5)</f>
        <v>　　　　　</v>
      </c>
      <c r="AC10" s="969"/>
      <c r="AD10" s="1103" t="str">
        <f t="shared" si="0"/>
        <v>     </v>
      </c>
      <c r="AE10" s="1104"/>
      <c r="AF10" s="952" t="str">
        <f t="shared" si="1"/>
        <v> </v>
      </c>
      <c r="AG10" s="966">
        <f>MID(CONCATENATE('演算'!$M$233,'演算'!$M$500,'演算'!$M$779,'演算'!$M$1058,'演算'!$M$1337),5*A10+1,5)</f>
      </c>
      <c r="AH10" s="1104">
        <f t="shared" si="2"/>
      </c>
      <c r="AI10" s="1105"/>
      <c r="AJ10" s="953">
        <f>WIDECHAR(MID(CONCATENATE('演算'!$M$234,'演算'!$M$501,'演算'!$M$780,'演算'!$M$1059,'演算'!$M$1338),A10+1,1))</f>
      </c>
      <c r="AL10" s="184">
        <v>4</v>
      </c>
    </row>
    <row r="11" spans="1:38" s="65" customFormat="1" ht="18" customHeight="1">
      <c r="A11" s="65">
        <v>31</v>
      </c>
      <c r="B11" s="1121">
        <f>WIDECHAR(MID(CONCATENATE('演算'!$Q$10,'演算'!$Q$242,'演算'!$Q$521,'演算'!$Q$800,'演算'!$Q$1079),'演算'!$L$10*A11+1,'演算'!$L$10))</f>
      </c>
      <c r="C11" s="1123"/>
      <c r="D11" s="961">
        <f>WIDECHAR(MID(CONCATENATE('演算'!$Q$18,'演算'!$Q$254,'演算'!$Q$533,'演算'!$Q$812,'演算'!$Q$1091),'演算'!$L$18*A11+1,'演算'!$L$18))</f>
      </c>
      <c r="E11" s="967"/>
      <c r="F11" s="967"/>
      <c r="G11" s="967"/>
      <c r="H11" s="968"/>
      <c r="I11" s="1121">
        <f>WIDECHAR(MID(CONCATENATE('演算'!$Q$25,'演算'!$Q$265,'演算'!$Q$544,'演算'!$Q$823,'演算'!$Q$1102),'演算'!$L$25*A11+1,'演算'!$L$25))</f>
      </c>
      <c r="J11" s="1122"/>
      <c r="K11" s="1122"/>
      <c r="L11" s="961">
        <f>WIDECHAR(MID(CONCATENATE('演算'!$M$229,'演算'!$M$496,'演算'!$M$775,'演算'!$M$1054,'演算'!$M$1333),'演算'!$L$32*A11+1,'演算'!$L$32))</f>
      </c>
      <c r="M11" s="967"/>
      <c r="N11" s="967"/>
      <c r="O11" s="967"/>
      <c r="P11" s="967"/>
      <c r="Q11" s="967"/>
      <c r="R11" s="967"/>
      <c r="S11" s="967"/>
      <c r="T11" s="967"/>
      <c r="U11" s="968"/>
      <c r="V11" s="961">
        <f>WIDECHAR(MID(CONCATENATE('演算'!$M$230,'演算'!$M$497,'演算'!$M$776,'演算'!$M$1055,'演算'!$M$1334),'演算'!$L$40*A11+1,'演算'!$L$40))</f>
      </c>
      <c r="W11" s="967"/>
      <c r="X11" s="968"/>
      <c r="Y11" s="1103">
        <f>WIDECHAR(MID(CONCATENATE('演算'!$M$231,'演算'!$M$498,'演算'!$M$777,'演算'!$M$1056,'演算'!$M$1335),'演算'!$L$49*A11+1,'演算'!$L$49))</f>
      </c>
      <c r="Z11" s="1104"/>
      <c r="AA11" s="1105"/>
      <c r="AB11" s="964">
        <f>MID(CONCATENATE('演算'!$M$232,'演算'!$M$499,'演算'!$M$778,'演算'!$M$1057,'演算'!$M$1336,REPT("　",130)),5*A11+1,5)</f>
      </c>
      <c r="AC11" s="969"/>
      <c r="AD11" s="1103">
        <f t="shared" si="0"/>
      </c>
      <c r="AE11" s="1104"/>
      <c r="AF11" s="952" t="str">
        <f t="shared" si="1"/>
        <v>～</v>
      </c>
      <c r="AG11" s="966">
        <f>MID(CONCATENATE('演算'!$M$233,'演算'!$M$500,'演算'!$M$779,'演算'!$M$1058,'演算'!$M$1337),5*A11+1,5)</f>
      </c>
      <c r="AH11" s="1104">
        <f t="shared" si="2"/>
      </c>
      <c r="AI11" s="1105"/>
      <c r="AJ11" s="953">
        <f>WIDECHAR(MID(CONCATENATE('演算'!$M$234,'演算'!$M$501,'演算'!$M$780,'演算'!$M$1059,'演算'!$M$1338),A11+1,1))</f>
      </c>
      <c r="AL11" s="184">
        <v>5</v>
      </c>
    </row>
    <row r="12" spans="1:38" s="65" customFormat="1" ht="18" customHeight="1">
      <c r="A12" s="65">
        <v>32</v>
      </c>
      <c r="B12" s="1121">
        <f>WIDECHAR(MID(CONCATENATE('演算'!$Q$10,'演算'!$Q$242,'演算'!$Q$521,'演算'!$Q$800,'演算'!$Q$1079),'演算'!$L$10*A12+1,'演算'!$L$10))</f>
      </c>
      <c r="C12" s="1123"/>
      <c r="D12" s="961">
        <f>WIDECHAR(MID(CONCATENATE('演算'!$Q$18,'演算'!$Q$254,'演算'!$Q$533,'演算'!$Q$812,'演算'!$Q$1091),'演算'!$L$18*A12+1,'演算'!$L$18))</f>
      </c>
      <c r="E12" s="967"/>
      <c r="F12" s="967"/>
      <c r="G12" s="967"/>
      <c r="H12" s="968"/>
      <c r="I12" s="1121">
        <f>WIDECHAR(MID(CONCATENATE('演算'!$Q$25,'演算'!$Q$265,'演算'!$Q$544,'演算'!$Q$823,'演算'!$Q$1102),'演算'!$L$25*A12+1,'演算'!$L$25))</f>
      </c>
      <c r="J12" s="1122"/>
      <c r="K12" s="1122"/>
      <c r="L12" s="961">
        <f>WIDECHAR(MID(CONCATENATE('演算'!$M$229,'演算'!$M$496,'演算'!$M$775,'演算'!$M$1054,'演算'!$M$1333),'演算'!$L$32*A12+1,'演算'!$L$32))</f>
      </c>
      <c r="M12" s="967"/>
      <c r="N12" s="967"/>
      <c r="O12" s="967"/>
      <c r="P12" s="967"/>
      <c r="Q12" s="967"/>
      <c r="R12" s="967"/>
      <c r="S12" s="967"/>
      <c r="T12" s="967"/>
      <c r="U12" s="968"/>
      <c r="V12" s="961">
        <f>WIDECHAR(MID(CONCATENATE('演算'!$M$230,'演算'!$M$497,'演算'!$M$776,'演算'!$M$1055,'演算'!$M$1334),'演算'!$L$40*A12+1,'演算'!$L$40))</f>
      </c>
      <c r="W12" s="967"/>
      <c r="X12" s="968"/>
      <c r="Y12" s="1103">
        <f>WIDECHAR(MID(CONCATENATE('演算'!$M$231,'演算'!$M$498,'演算'!$M$777,'演算'!$M$1056,'演算'!$M$1335),'演算'!$L$49*A12+1,'演算'!$L$49))</f>
      </c>
      <c r="Z12" s="1104"/>
      <c r="AA12" s="1105"/>
      <c r="AB12" s="964">
        <f>MID(CONCATENATE('演算'!$M$232,'演算'!$M$499,'演算'!$M$778,'演算'!$M$1057,'演算'!$M$1336,REPT("　",130)),5*A12+1,5)</f>
      </c>
      <c r="AC12" s="969"/>
      <c r="AD12" s="1103">
        <f t="shared" si="0"/>
      </c>
      <c r="AE12" s="1104"/>
      <c r="AF12" s="952" t="str">
        <f t="shared" si="1"/>
        <v>～</v>
      </c>
      <c r="AG12" s="966">
        <f>MID(CONCATENATE('演算'!$M$233,'演算'!$M$500,'演算'!$M$779,'演算'!$M$1058,'演算'!$M$1337),5*A12+1,5)</f>
      </c>
      <c r="AH12" s="1104">
        <f t="shared" si="2"/>
      </c>
      <c r="AI12" s="1105"/>
      <c r="AJ12" s="953">
        <f>WIDECHAR(MID(CONCATENATE('演算'!$M$234,'演算'!$M$501,'演算'!$M$780,'演算'!$M$1059,'演算'!$M$1338),A12+1,1))</f>
      </c>
      <c r="AL12" s="184">
        <v>6</v>
      </c>
    </row>
    <row r="13" spans="1:38" s="65" customFormat="1" ht="18" customHeight="1">
      <c r="A13" s="65">
        <v>33</v>
      </c>
      <c r="B13" s="1121">
        <f>WIDECHAR(MID(CONCATENATE('演算'!$Q$10,'演算'!$Q$242,'演算'!$Q$521,'演算'!$Q$800,'演算'!$Q$1079),'演算'!$L$10*A13+1,'演算'!$L$10))</f>
      </c>
      <c r="C13" s="1123"/>
      <c r="D13" s="961">
        <f>WIDECHAR(MID(CONCATENATE('演算'!$Q$18,'演算'!$Q$254,'演算'!$Q$533,'演算'!$Q$812,'演算'!$Q$1091),'演算'!$L$18*A13+1,'演算'!$L$18))</f>
      </c>
      <c r="E13" s="967"/>
      <c r="F13" s="967"/>
      <c r="G13" s="967"/>
      <c r="H13" s="968"/>
      <c r="I13" s="1121">
        <f>WIDECHAR(MID(CONCATENATE('演算'!$Q$25,'演算'!$Q$265,'演算'!$Q$544,'演算'!$Q$823,'演算'!$Q$1102),'演算'!$L$25*A13+1,'演算'!$L$25))</f>
      </c>
      <c r="J13" s="1122"/>
      <c r="K13" s="1122"/>
      <c r="L13" s="961">
        <f>WIDECHAR(MID(CONCATENATE('演算'!$M$229,'演算'!$M$496,'演算'!$M$775,'演算'!$M$1054,'演算'!$M$1333),'演算'!$L$32*A13+1,'演算'!$L$32))</f>
      </c>
      <c r="M13" s="967"/>
      <c r="N13" s="967"/>
      <c r="O13" s="967"/>
      <c r="P13" s="967"/>
      <c r="Q13" s="967"/>
      <c r="R13" s="967"/>
      <c r="S13" s="967"/>
      <c r="T13" s="967"/>
      <c r="U13" s="968"/>
      <c r="V13" s="961">
        <f>WIDECHAR(MID(CONCATENATE('演算'!$M$230,'演算'!$M$497,'演算'!$M$776,'演算'!$M$1055,'演算'!$M$1334),'演算'!$L$40*A13+1,'演算'!$L$40))</f>
      </c>
      <c r="W13" s="967"/>
      <c r="X13" s="968"/>
      <c r="Y13" s="1103">
        <f>WIDECHAR(MID(CONCATENATE('演算'!$M$231,'演算'!$M$498,'演算'!$M$777,'演算'!$M$1056,'演算'!$M$1335),'演算'!$L$49*A13+1,'演算'!$L$49))</f>
      </c>
      <c r="Z13" s="1104"/>
      <c r="AA13" s="1105"/>
      <c r="AB13" s="964">
        <f>MID(CONCATENATE('演算'!$M$232,'演算'!$M$499,'演算'!$M$778,'演算'!$M$1057,'演算'!$M$1336,REPT("　",130)),5*A13+1,5)</f>
      </c>
      <c r="AC13" s="969"/>
      <c r="AD13" s="1103">
        <f t="shared" si="0"/>
      </c>
      <c r="AE13" s="1104"/>
      <c r="AF13" s="952" t="str">
        <f t="shared" si="1"/>
        <v>～</v>
      </c>
      <c r="AG13" s="966">
        <f>MID(CONCATENATE('演算'!$M$233,'演算'!$M$500,'演算'!$M$779,'演算'!$M$1058,'演算'!$M$1337),5*A13+1,5)</f>
      </c>
      <c r="AH13" s="1104">
        <f t="shared" si="2"/>
      </c>
      <c r="AI13" s="1105"/>
      <c r="AJ13" s="953">
        <f>WIDECHAR(MID(CONCATENATE('演算'!$M$234,'演算'!$M$501,'演算'!$M$780,'演算'!$M$1059,'演算'!$M$1338),A13+1,1))</f>
      </c>
      <c r="AL13" s="184">
        <v>7</v>
      </c>
    </row>
    <row r="14" spans="1:38" s="65" customFormat="1" ht="18" customHeight="1">
      <c r="A14" s="65">
        <v>34</v>
      </c>
      <c r="B14" s="1121">
        <f>WIDECHAR(MID(CONCATENATE('演算'!$Q$10,'演算'!$Q$242,'演算'!$Q$521,'演算'!$Q$800,'演算'!$Q$1079),'演算'!$L$10*A14+1,'演算'!$L$10))</f>
      </c>
      <c r="C14" s="1123"/>
      <c r="D14" s="961">
        <f>WIDECHAR(MID(CONCATENATE('演算'!$Q$18,'演算'!$Q$254,'演算'!$Q$533,'演算'!$Q$812,'演算'!$Q$1091),'演算'!$L$18*A14+1,'演算'!$L$18))</f>
      </c>
      <c r="E14" s="967"/>
      <c r="F14" s="967"/>
      <c r="G14" s="967"/>
      <c r="H14" s="968"/>
      <c r="I14" s="1121">
        <f>WIDECHAR(MID(CONCATENATE('演算'!$Q$25,'演算'!$Q$265,'演算'!$Q$544,'演算'!$Q$823,'演算'!$Q$1102),'演算'!$L$25*A14+1,'演算'!$L$25))</f>
      </c>
      <c r="J14" s="1122"/>
      <c r="K14" s="1122"/>
      <c r="L14" s="961">
        <f>WIDECHAR(MID(CONCATENATE('演算'!$M$229,'演算'!$M$496,'演算'!$M$775,'演算'!$M$1054,'演算'!$M$1333),'演算'!$L$32*A14+1,'演算'!$L$32))</f>
      </c>
      <c r="M14" s="967"/>
      <c r="N14" s="967"/>
      <c r="O14" s="967"/>
      <c r="P14" s="967"/>
      <c r="Q14" s="967"/>
      <c r="R14" s="967"/>
      <c r="S14" s="967"/>
      <c r="T14" s="967"/>
      <c r="U14" s="968"/>
      <c r="V14" s="961">
        <f>WIDECHAR(MID(CONCATENATE('演算'!$M$230,'演算'!$M$497,'演算'!$M$776,'演算'!$M$1055,'演算'!$M$1334),'演算'!$L$40*A14+1,'演算'!$L$40))</f>
      </c>
      <c r="W14" s="967"/>
      <c r="X14" s="968"/>
      <c r="Y14" s="1103">
        <f>WIDECHAR(MID(CONCATENATE('演算'!$M$231,'演算'!$M$498,'演算'!$M$777,'演算'!$M$1056,'演算'!$M$1335),'演算'!$L$49*A14+1,'演算'!$L$49))</f>
      </c>
      <c r="Z14" s="1104"/>
      <c r="AA14" s="1105"/>
      <c r="AB14" s="964">
        <f>MID(CONCATENATE('演算'!$M$232,'演算'!$M$499,'演算'!$M$778,'演算'!$M$1057,'演算'!$M$1336,REPT("　",130)),5*A14+1,5)</f>
      </c>
      <c r="AC14" s="969"/>
      <c r="AD14" s="1103">
        <f t="shared" si="0"/>
      </c>
      <c r="AE14" s="1104"/>
      <c r="AF14" s="952" t="str">
        <f t="shared" si="1"/>
        <v>～</v>
      </c>
      <c r="AG14" s="966">
        <f>MID(CONCATENATE('演算'!$M$233,'演算'!$M$500,'演算'!$M$779,'演算'!$M$1058,'演算'!$M$1337),5*A14+1,5)</f>
      </c>
      <c r="AH14" s="1104">
        <f t="shared" si="2"/>
      </c>
      <c r="AI14" s="1105"/>
      <c r="AJ14" s="953">
        <f>WIDECHAR(MID(CONCATENATE('演算'!$M$234,'演算'!$M$501,'演算'!$M$780,'演算'!$M$1059,'演算'!$M$1338),A14+1,1))</f>
      </c>
      <c r="AL14" s="184">
        <v>8</v>
      </c>
    </row>
    <row r="15" spans="1:38" s="65" customFormat="1" ht="18" customHeight="1">
      <c r="A15" s="65">
        <v>35</v>
      </c>
      <c r="B15" s="1121">
        <f>WIDECHAR(MID(CONCATENATE('演算'!$Q$10,'演算'!$Q$242,'演算'!$Q$521,'演算'!$Q$800,'演算'!$Q$1079),'演算'!$L$10*A15+1,'演算'!$L$10))</f>
      </c>
      <c r="C15" s="1123"/>
      <c r="D15" s="961">
        <f>WIDECHAR(MID(CONCATENATE('演算'!$Q$18,'演算'!$Q$254,'演算'!$Q$533,'演算'!$Q$812,'演算'!$Q$1091),'演算'!$L$18*A15+1,'演算'!$L$18))</f>
      </c>
      <c r="E15" s="967"/>
      <c r="F15" s="967"/>
      <c r="G15" s="967"/>
      <c r="H15" s="968"/>
      <c r="I15" s="1121">
        <f>WIDECHAR(MID(CONCATENATE('演算'!$Q$25,'演算'!$Q$265,'演算'!$Q$544,'演算'!$Q$823,'演算'!$Q$1102),'演算'!$L$25*A15+1,'演算'!$L$25))</f>
      </c>
      <c r="J15" s="1122"/>
      <c r="K15" s="1122"/>
      <c r="L15" s="961">
        <f>WIDECHAR(MID(CONCATENATE('演算'!$M$229,'演算'!$M$496,'演算'!$M$775,'演算'!$M$1054,'演算'!$M$1333),'演算'!$L$32*A15+1,'演算'!$L$32))</f>
      </c>
      <c r="M15" s="967"/>
      <c r="N15" s="967"/>
      <c r="O15" s="967"/>
      <c r="P15" s="967"/>
      <c r="Q15" s="967"/>
      <c r="R15" s="967"/>
      <c r="S15" s="967"/>
      <c r="T15" s="967"/>
      <c r="U15" s="968"/>
      <c r="V15" s="961">
        <f>WIDECHAR(MID(CONCATENATE('演算'!$M$230,'演算'!$M$497,'演算'!$M$776,'演算'!$M$1055,'演算'!$M$1334),'演算'!$L$40*A15+1,'演算'!$L$40))</f>
      </c>
      <c r="W15" s="967"/>
      <c r="X15" s="968"/>
      <c r="Y15" s="1103">
        <f>WIDECHAR(MID(CONCATENATE('演算'!$M$231,'演算'!$M$498,'演算'!$M$777,'演算'!$M$1056,'演算'!$M$1335),'演算'!$L$49*A15+1,'演算'!$L$49))</f>
      </c>
      <c r="Z15" s="1104"/>
      <c r="AA15" s="1105"/>
      <c r="AB15" s="964">
        <f>MID(CONCATENATE('演算'!$M$232,'演算'!$M$499,'演算'!$M$778,'演算'!$M$1057,'演算'!$M$1336,REPT("　",130)),5*A15+1,5)</f>
      </c>
      <c r="AC15" s="969"/>
      <c r="AD15" s="1103">
        <f t="shared" si="0"/>
      </c>
      <c r="AE15" s="1104"/>
      <c r="AF15" s="952" t="str">
        <f t="shared" si="1"/>
        <v>～</v>
      </c>
      <c r="AG15" s="966">
        <f>MID(CONCATENATE('演算'!$M$233,'演算'!$M$500,'演算'!$M$779,'演算'!$M$1058,'演算'!$M$1337),5*A15+1,5)</f>
      </c>
      <c r="AH15" s="1104">
        <f t="shared" si="2"/>
      </c>
      <c r="AI15" s="1105"/>
      <c r="AJ15" s="953">
        <f>WIDECHAR(MID(CONCATENATE('演算'!$M$234,'演算'!$M$501,'演算'!$M$780,'演算'!$M$1059,'演算'!$M$1338),A15+1,1))</f>
      </c>
      <c r="AL15" s="184">
        <v>9</v>
      </c>
    </row>
    <row r="16" spans="1:38" s="65" customFormat="1" ht="18" customHeight="1">
      <c r="A16" s="65">
        <v>36</v>
      </c>
      <c r="B16" s="1121">
        <f>WIDECHAR(MID(CONCATENATE('演算'!$Q$10,'演算'!$Q$242,'演算'!$Q$521,'演算'!$Q$800,'演算'!$Q$1079),'演算'!$L$10*A16+1,'演算'!$L$10))</f>
      </c>
      <c r="C16" s="1123"/>
      <c r="D16" s="961">
        <f>WIDECHAR(MID(CONCATENATE('演算'!$Q$18,'演算'!$Q$254,'演算'!$Q$533,'演算'!$Q$812,'演算'!$Q$1091),'演算'!$L$18*A16+1,'演算'!$L$18))</f>
      </c>
      <c r="E16" s="967"/>
      <c r="F16" s="967"/>
      <c r="G16" s="967"/>
      <c r="H16" s="968"/>
      <c r="I16" s="1121">
        <f>WIDECHAR(MID(CONCATENATE('演算'!$Q$25,'演算'!$Q$265,'演算'!$Q$544,'演算'!$Q$823,'演算'!$Q$1102),'演算'!$L$25*A16+1,'演算'!$L$25))</f>
      </c>
      <c r="J16" s="1122"/>
      <c r="K16" s="1122"/>
      <c r="L16" s="961">
        <f>WIDECHAR(MID(CONCATENATE('演算'!$M$229,'演算'!$M$496,'演算'!$M$775,'演算'!$M$1054,'演算'!$M$1333),'演算'!$L$32*A16+1,'演算'!$L$32))</f>
      </c>
      <c r="M16" s="967"/>
      <c r="N16" s="967"/>
      <c r="O16" s="967"/>
      <c r="P16" s="967"/>
      <c r="Q16" s="952"/>
      <c r="R16" s="967"/>
      <c r="S16" s="967"/>
      <c r="T16" s="967"/>
      <c r="U16" s="968"/>
      <c r="V16" s="961">
        <f>WIDECHAR(MID(CONCATENATE('演算'!$M$230,'演算'!$M$497,'演算'!$M$776,'演算'!$M$1055,'演算'!$M$1334),'演算'!$L$40*A16+1,'演算'!$L$40))</f>
      </c>
      <c r="W16" s="967"/>
      <c r="X16" s="968"/>
      <c r="Y16" s="1103">
        <f>WIDECHAR(MID(CONCATENATE('演算'!$M$231,'演算'!$M$498,'演算'!$M$777,'演算'!$M$1056,'演算'!$M$1335),'演算'!$L$49*A16+1,'演算'!$L$49))</f>
      </c>
      <c r="Z16" s="1104"/>
      <c r="AA16" s="1105"/>
      <c r="AB16" s="964">
        <f>MID(CONCATENATE('演算'!$M$232,'演算'!$M$499,'演算'!$M$778,'演算'!$M$1057,'演算'!$M$1336,REPT("　",130)),5*A16+1,5)</f>
      </c>
      <c r="AC16" s="969"/>
      <c r="AD16" s="1103">
        <f t="shared" si="0"/>
      </c>
      <c r="AE16" s="1104"/>
      <c r="AF16" s="952" t="str">
        <f t="shared" si="1"/>
        <v>～</v>
      </c>
      <c r="AG16" s="966">
        <f>MID(CONCATENATE('演算'!$M$233,'演算'!$M$500,'演算'!$M$779,'演算'!$M$1058,'演算'!$M$1337),5*A16+1,5)</f>
      </c>
      <c r="AH16" s="1104">
        <f t="shared" si="2"/>
      </c>
      <c r="AI16" s="1105"/>
      <c r="AJ16" s="953">
        <f>WIDECHAR(MID(CONCATENATE('演算'!$M$234,'演算'!$M$501,'演算'!$M$780,'演算'!$M$1059,'演算'!$M$1338),A16+1,1))</f>
      </c>
      <c r="AL16" s="184">
        <v>10</v>
      </c>
    </row>
    <row r="17" spans="1:38" s="65" customFormat="1" ht="18" customHeight="1">
      <c r="A17" s="65">
        <v>37</v>
      </c>
      <c r="B17" s="1121">
        <f>WIDECHAR(MID(CONCATENATE('演算'!$Q$10,'演算'!$Q$242,'演算'!$Q$521,'演算'!$Q$800,'演算'!$Q$1079),'演算'!$L$10*A17+1,'演算'!$L$10))</f>
      </c>
      <c r="C17" s="1123"/>
      <c r="D17" s="961">
        <f>WIDECHAR(MID(CONCATENATE('演算'!$Q$18,'演算'!$Q$254,'演算'!$Q$533,'演算'!$Q$812,'演算'!$Q$1091),'演算'!$L$18*A17+1,'演算'!$L$18))</f>
      </c>
      <c r="E17" s="967"/>
      <c r="F17" s="967"/>
      <c r="G17" s="967"/>
      <c r="H17" s="968"/>
      <c r="I17" s="1121">
        <f>WIDECHAR(MID(CONCATENATE('演算'!$Q$25,'演算'!$Q$265,'演算'!$Q$544,'演算'!$Q$823,'演算'!$Q$1102),'演算'!$L$25*A17+1,'演算'!$L$25))</f>
      </c>
      <c r="J17" s="1122"/>
      <c r="K17" s="1122"/>
      <c r="L17" s="961">
        <f>WIDECHAR(MID(CONCATENATE('演算'!$M$229,'演算'!$M$496,'演算'!$M$775,'演算'!$M$1054,'演算'!$M$1333),'演算'!$L$32*A17+1,'演算'!$L$32))</f>
      </c>
      <c r="M17" s="967"/>
      <c r="N17" s="967"/>
      <c r="O17" s="967"/>
      <c r="P17" s="967"/>
      <c r="Q17" s="967"/>
      <c r="R17" s="967"/>
      <c r="S17" s="967"/>
      <c r="T17" s="967"/>
      <c r="U17" s="968"/>
      <c r="V17" s="961">
        <f>WIDECHAR(MID(CONCATENATE('演算'!$M$230,'演算'!$M$497,'演算'!$M$776,'演算'!$M$1055,'演算'!$M$1334),'演算'!$L$40*A17+1,'演算'!$L$40))</f>
      </c>
      <c r="W17" s="967"/>
      <c r="X17" s="968"/>
      <c r="Y17" s="1103">
        <f>WIDECHAR(MID(CONCATENATE('演算'!$M$231,'演算'!$M$498,'演算'!$M$777,'演算'!$M$1056,'演算'!$M$1335),'演算'!$L$49*A17+1,'演算'!$L$49))</f>
      </c>
      <c r="Z17" s="1104"/>
      <c r="AA17" s="1105"/>
      <c r="AB17" s="964">
        <f>MID(CONCATENATE('演算'!$M$232,'演算'!$M$499,'演算'!$M$778,'演算'!$M$1057,'演算'!$M$1336,REPT("　",130)),5*A17+1,5)</f>
      </c>
      <c r="AC17" s="969"/>
      <c r="AD17" s="1103">
        <f t="shared" si="0"/>
      </c>
      <c r="AE17" s="1104"/>
      <c r="AF17" s="952" t="str">
        <f t="shared" si="1"/>
        <v>～</v>
      </c>
      <c r="AG17" s="966">
        <f>MID(CONCATENATE('演算'!$M$233,'演算'!$M$500,'演算'!$M$779,'演算'!$M$1058,'演算'!$M$1337),5*A17+1,5)</f>
      </c>
      <c r="AH17" s="1104">
        <f t="shared" si="2"/>
      </c>
      <c r="AI17" s="1105"/>
      <c r="AJ17" s="953">
        <f>WIDECHAR(MID(CONCATENATE('演算'!$M$234,'演算'!$M$501,'演算'!$M$780,'演算'!$M$1059,'演算'!$M$1338),A17+1,1))</f>
      </c>
      <c r="AL17" s="184">
        <v>11</v>
      </c>
    </row>
    <row r="18" spans="1:38" s="65" customFormat="1" ht="18" customHeight="1">
      <c r="A18" s="65">
        <v>38</v>
      </c>
      <c r="B18" s="1121">
        <f>WIDECHAR(MID(CONCATENATE('演算'!$Q$10,'演算'!$Q$242,'演算'!$Q$521,'演算'!$Q$800,'演算'!$Q$1079),'演算'!$L$10*A18+1,'演算'!$L$10))</f>
      </c>
      <c r="C18" s="1123"/>
      <c r="D18" s="961">
        <f>WIDECHAR(MID(CONCATENATE('演算'!$Q$18,'演算'!$Q$254,'演算'!$Q$533,'演算'!$Q$812,'演算'!$Q$1091),'演算'!$L$18*A18+1,'演算'!$L$18))</f>
      </c>
      <c r="E18" s="967"/>
      <c r="F18" s="967"/>
      <c r="G18" s="967"/>
      <c r="H18" s="968"/>
      <c r="I18" s="1121">
        <f>WIDECHAR(MID(CONCATENATE('演算'!$Q$25,'演算'!$Q$265,'演算'!$Q$544,'演算'!$Q$823,'演算'!$Q$1102),'演算'!$L$25*A18+1,'演算'!$L$25))</f>
      </c>
      <c r="J18" s="1122"/>
      <c r="K18" s="1122"/>
      <c r="L18" s="961">
        <f>WIDECHAR(MID(CONCATENATE('演算'!$M$229,'演算'!$M$496,'演算'!$M$775,'演算'!$M$1054,'演算'!$M$1333),'演算'!$L$32*A18+1,'演算'!$L$32))</f>
      </c>
      <c r="M18" s="967"/>
      <c r="N18" s="967"/>
      <c r="O18" s="967"/>
      <c r="P18" s="967"/>
      <c r="Q18" s="967"/>
      <c r="R18" s="967"/>
      <c r="S18" s="967"/>
      <c r="T18" s="967"/>
      <c r="U18" s="968"/>
      <c r="V18" s="961">
        <f>WIDECHAR(MID(CONCATENATE('演算'!$M$230,'演算'!$M$497,'演算'!$M$776,'演算'!$M$1055,'演算'!$M$1334),'演算'!$L$40*A18+1,'演算'!$L$40))</f>
      </c>
      <c r="W18" s="967"/>
      <c r="X18" s="968"/>
      <c r="Y18" s="1103">
        <f>WIDECHAR(MID(CONCATENATE('演算'!$M$231,'演算'!$M$498,'演算'!$M$777,'演算'!$M$1056,'演算'!$M$1335),'演算'!$L$49*A18+1,'演算'!$L$49))</f>
      </c>
      <c r="Z18" s="1104"/>
      <c r="AA18" s="1105"/>
      <c r="AB18" s="964">
        <f>MID(CONCATENATE('演算'!$M$232,'演算'!$M$499,'演算'!$M$778,'演算'!$M$1057,'演算'!$M$1336,REPT("　",130)),5*A18+1,5)</f>
      </c>
      <c r="AC18" s="969"/>
      <c r="AD18" s="1103">
        <f t="shared" si="0"/>
      </c>
      <c r="AE18" s="1104"/>
      <c r="AF18" s="952" t="str">
        <f t="shared" si="1"/>
        <v>～</v>
      </c>
      <c r="AG18" s="966">
        <f>MID(CONCATENATE('演算'!$M$233,'演算'!$M$500,'演算'!$M$779,'演算'!$M$1058,'演算'!$M$1337),5*A18+1,5)</f>
      </c>
      <c r="AH18" s="1104">
        <f t="shared" si="2"/>
      </c>
      <c r="AI18" s="1105"/>
      <c r="AJ18" s="953">
        <f>WIDECHAR(MID(CONCATENATE('演算'!$M$234,'演算'!$M$501,'演算'!$M$780,'演算'!$M$1059,'演算'!$M$1338),A18+1,1))</f>
      </c>
      <c r="AL18" s="184">
        <v>12</v>
      </c>
    </row>
    <row r="19" spans="1:38" s="65" customFormat="1" ht="18" customHeight="1">
      <c r="A19" s="65">
        <v>39</v>
      </c>
      <c r="B19" s="1121">
        <f>WIDECHAR(MID(CONCATENATE('演算'!$Q$10,'演算'!$Q$242,'演算'!$Q$521,'演算'!$Q$800,'演算'!$Q$1079),'演算'!$L$10*A19+1,'演算'!$L$10))</f>
      </c>
      <c r="C19" s="1123"/>
      <c r="D19" s="961">
        <f>WIDECHAR(MID(CONCATENATE('演算'!$Q$18,'演算'!$Q$254,'演算'!$Q$533,'演算'!$Q$812,'演算'!$Q$1091),'演算'!$L$18*A19+1,'演算'!$L$18))</f>
      </c>
      <c r="E19" s="967"/>
      <c r="F19" s="967"/>
      <c r="G19" s="967"/>
      <c r="H19" s="968"/>
      <c r="I19" s="1121">
        <f>WIDECHAR(MID(CONCATENATE('演算'!$Q$25,'演算'!$Q$265,'演算'!$Q$544,'演算'!$Q$823,'演算'!$Q$1102),'演算'!$L$25*A19+1,'演算'!$L$25))</f>
      </c>
      <c r="J19" s="1122"/>
      <c r="K19" s="1122"/>
      <c r="L19" s="961">
        <f>WIDECHAR(MID(CONCATENATE('演算'!$M$229,'演算'!$M$496,'演算'!$M$775,'演算'!$M$1054,'演算'!$M$1333),'演算'!$L$32*A19+1,'演算'!$L$32))</f>
      </c>
      <c r="M19" s="967"/>
      <c r="N19" s="967"/>
      <c r="O19" s="967"/>
      <c r="P19" s="967"/>
      <c r="Q19" s="967"/>
      <c r="R19" s="967"/>
      <c r="S19" s="967"/>
      <c r="T19" s="967"/>
      <c r="U19" s="968"/>
      <c r="V19" s="961">
        <f>WIDECHAR(MID(CONCATENATE('演算'!$M$230,'演算'!$M$497,'演算'!$M$776,'演算'!$M$1055,'演算'!$M$1334),'演算'!$L$40*A19+1,'演算'!$L$40))</f>
      </c>
      <c r="W19" s="967"/>
      <c r="X19" s="968"/>
      <c r="Y19" s="1103">
        <f>WIDECHAR(MID(CONCATENATE('演算'!$M$231,'演算'!$M$498,'演算'!$M$777,'演算'!$M$1056,'演算'!$M$1335),'演算'!$L$49*A19+1,'演算'!$L$49))</f>
      </c>
      <c r="Z19" s="1104"/>
      <c r="AA19" s="1105"/>
      <c r="AB19" s="964">
        <f>MID(CONCATENATE('演算'!$M$232,'演算'!$M$499,'演算'!$M$778,'演算'!$M$1057,'演算'!$M$1336,REPT("　",130)),5*A19+1,5)</f>
      </c>
      <c r="AC19" s="969"/>
      <c r="AD19" s="1103">
        <f t="shared" si="0"/>
      </c>
      <c r="AE19" s="1104"/>
      <c r="AF19" s="952" t="str">
        <f t="shared" si="1"/>
        <v>～</v>
      </c>
      <c r="AG19" s="966">
        <f>MID(CONCATENATE('演算'!$M$233,'演算'!$M$500,'演算'!$M$779,'演算'!$M$1058,'演算'!$M$1337),5*A19+1,5)</f>
      </c>
      <c r="AH19" s="1104">
        <f t="shared" si="2"/>
      </c>
      <c r="AI19" s="1105"/>
      <c r="AJ19" s="953">
        <f>WIDECHAR(MID(CONCATENATE('演算'!$M$234,'演算'!$M$501,'演算'!$M$780,'演算'!$M$1059,'演算'!$M$1338),A19+1,1))</f>
      </c>
      <c r="AL19" s="184">
        <v>13</v>
      </c>
    </row>
    <row r="20" spans="1:38" s="65" customFormat="1" ht="18" customHeight="1">
      <c r="A20" s="65">
        <v>40</v>
      </c>
      <c r="B20" s="1121">
        <f>WIDECHAR(MID(CONCATENATE('演算'!$Q$10,'演算'!$Q$242,'演算'!$Q$521,'演算'!$Q$800,'演算'!$Q$1079),'演算'!$L$10*A20+1,'演算'!$L$10))</f>
      </c>
      <c r="C20" s="1123"/>
      <c r="D20" s="961">
        <f>WIDECHAR(MID(CONCATENATE('演算'!$Q$18,'演算'!$Q$254,'演算'!$Q$533,'演算'!$Q$812,'演算'!$Q$1091),'演算'!$L$18*A20+1,'演算'!$L$18))</f>
      </c>
      <c r="E20" s="967"/>
      <c r="F20" s="967"/>
      <c r="G20" s="967"/>
      <c r="H20" s="968"/>
      <c r="I20" s="1121">
        <f>WIDECHAR(MID(CONCATENATE('演算'!$Q$25,'演算'!$Q$265,'演算'!$Q$544,'演算'!$Q$823,'演算'!$Q$1102),'演算'!$L$25*A20+1,'演算'!$L$25))</f>
      </c>
      <c r="J20" s="1122"/>
      <c r="K20" s="1122"/>
      <c r="L20" s="961">
        <f>WIDECHAR(MID(CONCATENATE('演算'!$M$229,'演算'!$M$496,'演算'!$M$775,'演算'!$M$1054,'演算'!$M$1333),'演算'!$L$32*A20+1,'演算'!$L$32))</f>
      </c>
      <c r="M20" s="967"/>
      <c r="N20" s="967"/>
      <c r="O20" s="967"/>
      <c r="P20" s="967"/>
      <c r="Q20" s="967"/>
      <c r="R20" s="967"/>
      <c r="S20" s="967"/>
      <c r="T20" s="967"/>
      <c r="U20" s="968"/>
      <c r="V20" s="961">
        <f>WIDECHAR(MID(CONCATENATE('演算'!$M$230,'演算'!$M$497,'演算'!$M$776,'演算'!$M$1055,'演算'!$M$1334),'演算'!$L$40*A20+1,'演算'!$L$40))</f>
      </c>
      <c r="W20" s="967"/>
      <c r="X20" s="968"/>
      <c r="Y20" s="1103">
        <f>WIDECHAR(MID(CONCATENATE('演算'!$M$231,'演算'!$M$498,'演算'!$M$777,'演算'!$M$1056,'演算'!$M$1335),'演算'!$L$49*A20+1,'演算'!$L$49))</f>
      </c>
      <c r="Z20" s="1104"/>
      <c r="AA20" s="1105"/>
      <c r="AB20" s="964">
        <f>MID(CONCATENATE('演算'!$M$232,'演算'!$M$499,'演算'!$M$778,'演算'!$M$1057,'演算'!$M$1336,REPT("　",130)),5*A20+1,5)</f>
      </c>
      <c r="AC20" s="969"/>
      <c r="AD20" s="1103">
        <f t="shared" si="0"/>
      </c>
      <c r="AE20" s="1104"/>
      <c r="AF20" s="952" t="str">
        <f t="shared" si="1"/>
        <v>～</v>
      </c>
      <c r="AG20" s="966">
        <f>MID(CONCATENATE('演算'!$M$233,'演算'!$M$500,'演算'!$M$779,'演算'!$M$1058,'演算'!$M$1337),5*A20+1,5)</f>
      </c>
      <c r="AH20" s="1104">
        <f t="shared" si="2"/>
      </c>
      <c r="AI20" s="1105"/>
      <c r="AJ20" s="953">
        <f>WIDECHAR(MID(CONCATENATE('演算'!$M$234,'演算'!$M$501,'演算'!$M$780,'演算'!$M$1059,'演算'!$M$1338),A20+1,1))</f>
      </c>
      <c r="AL20" s="184">
        <v>14</v>
      </c>
    </row>
    <row r="21" spans="1:38" s="65" customFormat="1" ht="18" customHeight="1">
      <c r="A21" s="65">
        <v>41</v>
      </c>
      <c r="B21" s="1121">
        <f>WIDECHAR(MID(CONCATENATE('演算'!$Q$10,'演算'!$Q$242,'演算'!$Q$521,'演算'!$Q$800,'演算'!$Q$1079),'演算'!$L$10*A21+1,'演算'!$L$10))</f>
      </c>
      <c r="C21" s="1123"/>
      <c r="D21" s="961">
        <f>WIDECHAR(MID(CONCATENATE('演算'!$Q$18,'演算'!$Q$254,'演算'!$Q$533,'演算'!$Q$812,'演算'!$Q$1091),'演算'!$L$18*A21+1,'演算'!$L$18))</f>
      </c>
      <c r="E21" s="967"/>
      <c r="F21" s="967"/>
      <c r="G21" s="967"/>
      <c r="H21" s="968"/>
      <c r="I21" s="1121">
        <f>WIDECHAR(MID(CONCATENATE('演算'!$Q$25,'演算'!$Q$265,'演算'!$Q$544,'演算'!$Q$823,'演算'!$Q$1102),'演算'!$L$25*A21+1,'演算'!$L$25))</f>
      </c>
      <c r="J21" s="1122"/>
      <c r="K21" s="1122"/>
      <c r="L21" s="961">
        <f>WIDECHAR(MID(CONCATENATE('演算'!$M$229,'演算'!$M$496,'演算'!$M$775,'演算'!$M$1054,'演算'!$M$1333),'演算'!$L$32*A21+1,'演算'!$L$32))</f>
      </c>
      <c r="M21" s="967"/>
      <c r="N21" s="967"/>
      <c r="O21" s="967"/>
      <c r="P21" s="967"/>
      <c r="Q21" s="967"/>
      <c r="R21" s="967"/>
      <c r="S21" s="967"/>
      <c r="T21" s="967"/>
      <c r="U21" s="968"/>
      <c r="V21" s="961">
        <f>WIDECHAR(MID(CONCATENATE('演算'!$M$230,'演算'!$M$497,'演算'!$M$776,'演算'!$M$1055,'演算'!$M$1334),'演算'!$L$40*A21+1,'演算'!$L$40))</f>
      </c>
      <c r="W21" s="967"/>
      <c r="X21" s="968"/>
      <c r="Y21" s="1103">
        <f>WIDECHAR(MID(CONCATENATE('演算'!$M$231,'演算'!$M$498,'演算'!$M$777,'演算'!$M$1056,'演算'!$M$1335),'演算'!$L$49*A21+1,'演算'!$L$49))</f>
      </c>
      <c r="Z21" s="1104"/>
      <c r="AA21" s="1105"/>
      <c r="AB21" s="964">
        <f>MID(CONCATENATE('演算'!$M$232,'演算'!$M$499,'演算'!$M$778,'演算'!$M$1057,'演算'!$M$1336,REPT("　",130)),5*A21+1,5)</f>
      </c>
      <c r="AC21" s="969"/>
      <c r="AD21" s="1103">
        <f t="shared" si="0"/>
      </c>
      <c r="AE21" s="1104"/>
      <c r="AF21" s="952" t="str">
        <f t="shared" si="1"/>
        <v>～</v>
      </c>
      <c r="AG21" s="966">
        <f>MID(CONCATENATE('演算'!$M$233,'演算'!$M$500,'演算'!$M$779,'演算'!$M$1058,'演算'!$M$1337),5*A21+1,5)</f>
      </c>
      <c r="AH21" s="1104">
        <f t="shared" si="2"/>
      </c>
      <c r="AI21" s="1105"/>
      <c r="AJ21" s="953">
        <f>WIDECHAR(MID(CONCATENATE('演算'!$M$234,'演算'!$M$501,'演算'!$M$780,'演算'!$M$1059,'演算'!$M$1338),A21+1,1))</f>
      </c>
      <c r="AL21" s="184">
        <v>15</v>
      </c>
    </row>
    <row r="22" spans="1:38" s="65" customFormat="1" ht="18" customHeight="1">
      <c r="A22" s="65">
        <v>42</v>
      </c>
      <c r="B22" s="1121">
        <f>WIDECHAR(MID(CONCATENATE('演算'!$Q$10,'演算'!$Q$242,'演算'!$Q$521,'演算'!$Q$800,'演算'!$Q$1079),'演算'!$L$10*A22+1,'演算'!$L$10))</f>
      </c>
      <c r="C22" s="1123"/>
      <c r="D22" s="961">
        <f>WIDECHAR(MID(CONCATENATE('演算'!$Q$18,'演算'!$Q$254,'演算'!$Q$533,'演算'!$Q$812,'演算'!$Q$1091),'演算'!$L$18*A22+1,'演算'!$L$18))</f>
      </c>
      <c r="E22" s="967"/>
      <c r="F22" s="967"/>
      <c r="G22" s="967"/>
      <c r="H22" s="968"/>
      <c r="I22" s="1121">
        <f>WIDECHAR(MID(CONCATENATE('演算'!$Q$25,'演算'!$Q$265,'演算'!$Q$544,'演算'!$Q$823,'演算'!$Q$1102),'演算'!$L$25*A22+1,'演算'!$L$25))</f>
      </c>
      <c r="J22" s="1122"/>
      <c r="K22" s="1122"/>
      <c r="L22" s="961">
        <f>WIDECHAR(MID(CONCATENATE('演算'!$M$229,'演算'!$M$496,'演算'!$M$775,'演算'!$M$1054,'演算'!$M$1333),'演算'!$L$32*A22+1,'演算'!$L$32))</f>
      </c>
      <c r="M22" s="967"/>
      <c r="N22" s="967"/>
      <c r="O22" s="967"/>
      <c r="P22" s="967"/>
      <c r="Q22" s="967"/>
      <c r="R22" s="967"/>
      <c r="S22" s="967"/>
      <c r="T22" s="967"/>
      <c r="U22" s="968"/>
      <c r="V22" s="961">
        <f>WIDECHAR(MID(CONCATENATE('演算'!$M$230,'演算'!$M$497,'演算'!$M$776,'演算'!$M$1055,'演算'!$M$1334),'演算'!$L$40*A22+1,'演算'!$L$40))</f>
      </c>
      <c r="W22" s="967"/>
      <c r="X22" s="968"/>
      <c r="Y22" s="1103">
        <f>WIDECHAR(MID(CONCATENATE('演算'!$M$231,'演算'!$M$498,'演算'!$M$777,'演算'!$M$1056,'演算'!$M$1335),'演算'!$L$49*A22+1,'演算'!$L$49))</f>
      </c>
      <c r="Z22" s="1104"/>
      <c r="AA22" s="1105"/>
      <c r="AB22" s="964">
        <f>MID(CONCATENATE('演算'!$M$232,'演算'!$M$499,'演算'!$M$778,'演算'!$M$1057,'演算'!$M$1336,REPT("　",130)),5*A22+1,5)</f>
      </c>
      <c r="AC22" s="969"/>
      <c r="AD22" s="1103">
        <f t="shared" si="0"/>
      </c>
      <c r="AE22" s="1104"/>
      <c r="AF22" s="952" t="str">
        <f t="shared" si="1"/>
        <v>～</v>
      </c>
      <c r="AG22" s="966">
        <f>MID(CONCATENATE('演算'!$M$233,'演算'!$M$500,'演算'!$M$779,'演算'!$M$1058,'演算'!$M$1337),5*A22+1,5)</f>
      </c>
      <c r="AH22" s="1104">
        <f t="shared" si="2"/>
      </c>
      <c r="AI22" s="1105"/>
      <c r="AJ22" s="953">
        <f>WIDECHAR(MID(CONCATENATE('演算'!$M$234,'演算'!$M$501,'演算'!$M$780,'演算'!$M$1059,'演算'!$M$1338),A22+1,1))</f>
      </c>
      <c r="AL22" s="184">
        <v>16</v>
      </c>
    </row>
    <row r="23" spans="1:38" s="65" customFormat="1" ht="18" customHeight="1">
      <c r="A23" s="65">
        <v>43</v>
      </c>
      <c r="B23" s="1121">
        <f>WIDECHAR(MID(CONCATENATE('演算'!$Q$10,'演算'!$Q$242,'演算'!$Q$521,'演算'!$Q$800,'演算'!$Q$1079),'演算'!$L$10*A23+1,'演算'!$L$10))</f>
      </c>
      <c r="C23" s="1123"/>
      <c r="D23" s="961">
        <f>WIDECHAR(MID(CONCATENATE('演算'!$Q$18,'演算'!$Q$254,'演算'!$Q$533,'演算'!$Q$812,'演算'!$Q$1091),'演算'!$L$18*A23+1,'演算'!$L$18))</f>
      </c>
      <c r="E23" s="967"/>
      <c r="F23" s="967"/>
      <c r="G23" s="967"/>
      <c r="H23" s="968"/>
      <c r="I23" s="1121">
        <f>WIDECHAR(MID(CONCATENATE('演算'!$Q$25,'演算'!$Q$265,'演算'!$Q$544,'演算'!$Q$823,'演算'!$Q$1102),'演算'!$L$25*A23+1,'演算'!$L$25))</f>
      </c>
      <c r="J23" s="1122"/>
      <c r="K23" s="1122"/>
      <c r="L23" s="961">
        <f>WIDECHAR(MID(CONCATENATE('演算'!$M$229,'演算'!$M$496,'演算'!$M$775,'演算'!$M$1054,'演算'!$M$1333),'演算'!$L$32*A23+1,'演算'!$L$32))</f>
      </c>
      <c r="M23" s="967"/>
      <c r="N23" s="967"/>
      <c r="O23" s="967"/>
      <c r="P23" s="967"/>
      <c r="Q23" s="967"/>
      <c r="R23" s="967"/>
      <c r="S23" s="967"/>
      <c r="T23" s="967"/>
      <c r="U23" s="968"/>
      <c r="V23" s="961">
        <f>WIDECHAR(MID(CONCATENATE('演算'!$M$230,'演算'!$M$497,'演算'!$M$776,'演算'!$M$1055,'演算'!$M$1334),'演算'!$L$40*A23+1,'演算'!$L$40))</f>
      </c>
      <c r="W23" s="967"/>
      <c r="X23" s="968"/>
      <c r="Y23" s="1103">
        <f>WIDECHAR(MID(CONCATENATE('演算'!$M$231,'演算'!$M$498,'演算'!$M$777,'演算'!$M$1056,'演算'!$M$1335),'演算'!$L$49*A23+1,'演算'!$L$49))</f>
      </c>
      <c r="Z23" s="1104"/>
      <c r="AA23" s="1105"/>
      <c r="AB23" s="964">
        <f>MID(CONCATENATE('演算'!$M$232,'演算'!$M$499,'演算'!$M$778,'演算'!$M$1057,'演算'!$M$1336,REPT("　",130)),5*A23+1,5)</f>
      </c>
      <c r="AC23" s="969"/>
      <c r="AD23" s="1103">
        <f t="shared" si="0"/>
      </c>
      <c r="AE23" s="1104"/>
      <c r="AF23" s="952" t="str">
        <f t="shared" si="1"/>
        <v>～</v>
      </c>
      <c r="AG23" s="966">
        <f>MID(CONCATENATE('演算'!$M$233,'演算'!$M$500,'演算'!$M$779,'演算'!$M$1058,'演算'!$M$1337),5*A23+1,5)</f>
      </c>
      <c r="AH23" s="1104">
        <f t="shared" si="2"/>
      </c>
      <c r="AI23" s="1105"/>
      <c r="AJ23" s="953">
        <f>WIDECHAR(MID(CONCATENATE('演算'!$M$234,'演算'!$M$501,'演算'!$M$780,'演算'!$M$1059,'演算'!$M$1338),A23+1,1))</f>
      </c>
      <c r="AL23" s="184">
        <v>17</v>
      </c>
    </row>
    <row r="24" spans="1:38" s="65" customFormat="1" ht="18" customHeight="1">
      <c r="A24" s="65">
        <v>44</v>
      </c>
      <c r="B24" s="1121">
        <f>WIDECHAR(MID(CONCATENATE('演算'!$Q$10,'演算'!$Q$242,'演算'!$Q$521,'演算'!$Q$800,'演算'!$Q$1079),'演算'!$L$10*A24+1,'演算'!$L$10))</f>
      </c>
      <c r="C24" s="1123"/>
      <c r="D24" s="961">
        <f>WIDECHAR(MID(CONCATENATE('演算'!$Q$18,'演算'!$Q$254,'演算'!$Q$533,'演算'!$Q$812,'演算'!$Q$1091),'演算'!$L$18*A24+1,'演算'!$L$18))</f>
      </c>
      <c r="E24" s="967"/>
      <c r="F24" s="967"/>
      <c r="G24" s="967"/>
      <c r="H24" s="968"/>
      <c r="I24" s="1121">
        <f>WIDECHAR(MID(CONCATENATE('演算'!$Q$25,'演算'!$Q$265,'演算'!$Q$544,'演算'!$Q$823,'演算'!$Q$1102),'演算'!$L$25*A24+1,'演算'!$L$25))</f>
      </c>
      <c r="J24" s="1122"/>
      <c r="K24" s="1122"/>
      <c r="L24" s="961">
        <f>WIDECHAR(MID(CONCATENATE('演算'!$M$229,'演算'!$M$496,'演算'!$M$775,'演算'!$M$1054,'演算'!$M$1333),'演算'!$L$32*A24+1,'演算'!$L$32))</f>
      </c>
      <c r="M24" s="967"/>
      <c r="N24" s="967"/>
      <c r="O24" s="967"/>
      <c r="P24" s="967"/>
      <c r="Q24" s="967"/>
      <c r="R24" s="967"/>
      <c r="S24" s="967"/>
      <c r="T24" s="967"/>
      <c r="U24" s="968"/>
      <c r="V24" s="961">
        <f>WIDECHAR(MID(CONCATENATE('演算'!$M$230,'演算'!$M$497,'演算'!$M$776,'演算'!$M$1055,'演算'!$M$1334),'演算'!$L$40*A24+1,'演算'!$L$40))</f>
      </c>
      <c r="W24" s="967"/>
      <c r="X24" s="968"/>
      <c r="Y24" s="1103">
        <f>WIDECHAR(MID(CONCATENATE('演算'!$M$231,'演算'!$M$498,'演算'!$M$777,'演算'!$M$1056,'演算'!$M$1335),'演算'!$L$49*A24+1,'演算'!$L$49))</f>
      </c>
      <c r="Z24" s="1104"/>
      <c r="AA24" s="1105"/>
      <c r="AB24" s="964">
        <f>MID(CONCATENATE('演算'!$M$232,'演算'!$M$499,'演算'!$M$778,'演算'!$M$1057,'演算'!$M$1336,REPT("　",130)),5*A24+1,5)</f>
      </c>
      <c r="AC24" s="969"/>
      <c r="AD24" s="1103">
        <f t="shared" si="0"/>
      </c>
      <c r="AE24" s="1104"/>
      <c r="AF24" s="952" t="str">
        <f t="shared" si="1"/>
        <v>～</v>
      </c>
      <c r="AG24" s="966">
        <f>MID(CONCATENATE('演算'!$M$233,'演算'!$M$500,'演算'!$M$779,'演算'!$M$1058,'演算'!$M$1337),5*A24+1,5)</f>
      </c>
      <c r="AH24" s="1104">
        <f t="shared" si="2"/>
      </c>
      <c r="AI24" s="1105"/>
      <c r="AJ24" s="953">
        <f>WIDECHAR(MID(CONCATENATE('演算'!$M$234,'演算'!$M$501,'演算'!$M$780,'演算'!$M$1059,'演算'!$M$1338),A24+1,1))</f>
      </c>
      <c r="AL24" s="184">
        <v>18</v>
      </c>
    </row>
    <row r="25" spans="1:38" s="65" customFormat="1" ht="18" customHeight="1">
      <c r="A25" s="65">
        <v>45</v>
      </c>
      <c r="B25" s="1121">
        <f>WIDECHAR(MID(CONCATENATE('演算'!$Q$10,'演算'!$Q$242,'演算'!$Q$521,'演算'!$Q$800,'演算'!$Q$1079),'演算'!$L$10*A25+1,'演算'!$L$10))</f>
      </c>
      <c r="C25" s="1123"/>
      <c r="D25" s="961">
        <f>WIDECHAR(MID(CONCATENATE('演算'!$Q$18,'演算'!$Q$254,'演算'!$Q$533,'演算'!$Q$812,'演算'!$Q$1091),'演算'!$L$18*A25+1,'演算'!$L$18))</f>
      </c>
      <c r="E25" s="967"/>
      <c r="F25" s="967"/>
      <c r="G25" s="967"/>
      <c r="H25" s="968"/>
      <c r="I25" s="1121">
        <f>WIDECHAR(MID(CONCATENATE('演算'!$Q$25,'演算'!$Q$265,'演算'!$Q$544,'演算'!$Q$823,'演算'!$Q$1102),'演算'!$L$25*A25+1,'演算'!$L$25))</f>
      </c>
      <c r="J25" s="1122"/>
      <c r="K25" s="1122"/>
      <c r="L25" s="961">
        <f>WIDECHAR(MID(CONCATENATE('演算'!$M$229,'演算'!$M$496,'演算'!$M$775,'演算'!$M$1054,'演算'!$M$1333),'演算'!$L$32*A25+1,'演算'!$L$32))</f>
      </c>
      <c r="M25" s="967"/>
      <c r="N25" s="967"/>
      <c r="O25" s="967"/>
      <c r="P25" s="967"/>
      <c r="Q25" s="967"/>
      <c r="R25" s="967"/>
      <c r="S25" s="967"/>
      <c r="T25" s="967"/>
      <c r="U25" s="968"/>
      <c r="V25" s="961">
        <f>WIDECHAR(MID(CONCATENATE('演算'!$M$230,'演算'!$M$497,'演算'!$M$776,'演算'!$M$1055,'演算'!$M$1334),'演算'!$L$40*A25+1,'演算'!$L$40))</f>
      </c>
      <c r="W25" s="967"/>
      <c r="X25" s="968"/>
      <c r="Y25" s="1103">
        <f>WIDECHAR(MID(CONCATENATE('演算'!$M$231,'演算'!$M$498,'演算'!$M$777,'演算'!$M$1056,'演算'!$M$1335),'演算'!$L$49*A25+1,'演算'!$L$49))</f>
      </c>
      <c r="Z25" s="1104"/>
      <c r="AA25" s="1105"/>
      <c r="AB25" s="964">
        <f>MID(CONCATENATE('演算'!$M$232,'演算'!$M$499,'演算'!$M$778,'演算'!$M$1057,'演算'!$M$1336,REPT("　",130)),5*A25+1,5)</f>
      </c>
      <c r="AC25" s="969"/>
      <c r="AD25" s="1103">
        <f t="shared" si="0"/>
      </c>
      <c r="AE25" s="1104"/>
      <c r="AF25" s="952" t="str">
        <f t="shared" si="1"/>
        <v>～</v>
      </c>
      <c r="AG25" s="966">
        <f>MID(CONCATENATE('演算'!$M$233,'演算'!$M$500,'演算'!$M$779,'演算'!$M$1058,'演算'!$M$1337),5*A25+1,5)</f>
      </c>
      <c r="AH25" s="1104">
        <f t="shared" si="2"/>
      </c>
      <c r="AI25" s="1105"/>
      <c r="AJ25" s="953">
        <f>WIDECHAR(MID(CONCATENATE('演算'!$M$234,'演算'!$M$501,'演算'!$M$780,'演算'!$M$1059,'演算'!$M$1338),A25+1,1))</f>
      </c>
      <c r="AL25" s="184">
        <v>19</v>
      </c>
    </row>
    <row r="26" spans="1:38" s="65" customFormat="1" ht="18" customHeight="1">
      <c r="A26" s="65">
        <v>46</v>
      </c>
      <c r="B26" s="1121">
        <f>WIDECHAR(MID(CONCATENATE('演算'!$Q$10,'演算'!$Q$242,'演算'!$Q$521,'演算'!$Q$800,'演算'!$Q$1079),'演算'!$L$10*A26+1,'演算'!$L$10))</f>
      </c>
      <c r="C26" s="1123"/>
      <c r="D26" s="961">
        <f>WIDECHAR(MID(CONCATENATE('演算'!$Q$18,'演算'!$Q$254,'演算'!$Q$533,'演算'!$Q$812,'演算'!$Q$1091),'演算'!$L$18*A26+1,'演算'!$L$18))</f>
      </c>
      <c r="E26" s="967"/>
      <c r="F26" s="967"/>
      <c r="G26" s="967"/>
      <c r="H26" s="968"/>
      <c r="I26" s="1121">
        <f>WIDECHAR(MID(CONCATENATE('演算'!$Q$25,'演算'!$Q$265,'演算'!$Q$544,'演算'!$Q$823,'演算'!$Q$1102),'演算'!$L$25*A26+1,'演算'!$L$25))</f>
      </c>
      <c r="J26" s="1122"/>
      <c r="K26" s="1122"/>
      <c r="L26" s="961">
        <f>WIDECHAR(MID(CONCATENATE('演算'!$M$229,'演算'!$M$496,'演算'!$M$775,'演算'!$M$1054,'演算'!$M$1333),'演算'!$L$32*A26+1,'演算'!$L$32))</f>
      </c>
      <c r="M26" s="967"/>
      <c r="N26" s="967"/>
      <c r="O26" s="967"/>
      <c r="P26" s="967"/>
      <c r="Q26" s="967"/>
      <c r="R26" s="967"/>
      <c r="S26" s="967"/>
      <c r="T26" s="967"/>
      <c r="U26" s="968"/>
      <c r="V26" s="961">
        <f>WIDECHAR(MID(CONCATENATE('演算'!$M$230,'演算'!$M$497,'演算'!$M$776,'演算'!$M$1055,'演算'!$M$1334),'演算'!$L$40*A26+1,'演算'!$L$40))</f>
      </c>
      <c r="W26" s="967"/>
      <c r="X26" s="968"/>
      <c r="Y26" s="1103">
        <f>WIDECHAR(MID(CONCATENATE('演算'!$M$231,'演算'!$M$498,'演算'!$M$777,'演算'!$M$1056,'演算'!$M$1335),'演算'!$L$49*A26+1,'演算'!$L$49))</f>
      </c>
      <c r="Z26" s="1104"/>
      <c r="AA26" s="1105"/>
      <c r="AB26" s="964">
        <f>MID(CONCATENATE('演算'!$M$232,'演算'!$M$499,'演算'!$M$778,'演算'!$M$1057,'演算'!$M$1336,REPT("　",130)),5*A26+1,5)</f>
      </c>
      <c r="AC26" s="969"/>
      <c r="AD26" s="1103">
        <f t="shared" si="0"/>
      </c>
      <c r="AE26" s="1104"/>
      <c r="AF26" s="952" t="str">
        <f t="shared" si="1"/>
        <v>～</v>
      </c>
      <c r="AG26" s="966">
        <f>MID(CONCATENATE('演算'!$M$233,'演算'!$M$500,'演算'!$M$779,'演算'!$M$1058,'演算'!$M$1337),5*A26+1,5)</f>
      </c>
      <c r="AH26" s="1104">
        <f t="shared" si="2"/>
      </c>
      <c r="AI26" s="1105"/>
      <c r="AJ26" s="953">
        <f>WIDECHAR(MID(CONCATENATE('演算'!$M$234,'演算'!$M$501,'演算'!$M$780,'演算'!$M$1059,'演算'!$M$1338),A26+1,1))</f>
      </c>
      <c r="AL26" s="184">
        <v>20</v>
      </c>
    </row>
    <row r="27" spans="1:38" s="65" customFormat="1" ht="18" customHeight="1">
      <c r="A27" s="65">
        <v>47</v>
      </c>
      <c r="B27" s="1121">
        <f>WIDECHAR(MID(CONCATENATE('演算'!$Q$10,'演算'!$Q$242,'演算'!$Q$521,'演算'!$Q$800,'演算'!$Q$1079),'演算'!$L$10*A27+1,'演算'!$L$10))</f>
      </c>
      <c r="C27" s="1123"/>
      <c r="D27" s="961">
        <f>WIDECHAR(MID(CONCATENATE('演算'!$Q$18,'演算'!$Q$254,'演算'!$Q$533,'演算'!$Q$812,'演算'!$Q$1091),'演算'!$L$18*A27+1,'演算'!$L$18))</f>
      </c>
      <c r="E27" s="967"/>
      <c r="F27" s="967"/>
      <c r="G27" s="967"/>
      <c r="H27" s="968"/>
      <c r="I27" s="1121">
        <f>WIDECHAR(MID(CONCATENATE('演算'!$Q$25,'演算'!$Q$265,'演算'!$Q$544,'演算'!$Q$823,'演算'!$Q$1102),'演算'!$L$25*A27+1,'演算'!$L$25))</f>
      </c>
      <c r="J27" s="1122"/>
      <c r="K27" s="1122"/>
      <c r="L27" s="961">
        <f>WIDECHAR(MID(CONCATENATE('演算'!$M$229,'演算'!$M$496,'演算'!$M$775,'演算'!$M$1054,'演算'!$M$1333),'演算'!$L$32*A27+1,'演算'!$L$32))</f>
      </c>
      <c r="M27" s="967"/>
      <c r="N27" s="967"/>
      <c r="O27" s="967"/>
      <c r="P27" s="967"/>
      <c r="Q27" s="967"/>
      <c r="R27" s="967"/>
      <c r="S27" s="967"/>
      <c r="T27" s="967"/>
      <c r="U27" s="968"/>
      <c r="V27" s="961">
        <f>WIDECHAR(MID(CONCATENATE('演算'!$M$230,'演算'!$M$497,'演算'!$M$776,'演算'!$M$1055,'演算'!$M$1334),'演算'!$L$40*A27+1,'演算'!$L$40))</f>
      </c>
      <c r="W27" s="967"/>
      <c r="X27" s="968"/>
      <c r="Y27" s="1103">
        <f>WIDECHAR(MID(CONCATENATE('演算'!$M$231,'演算'!$M$498,'演算'!$M$777,'演算'!$M$1056,'演算'!$M$1335),'演算'!$L$49*A27+1,'演算'!$L$49))</f>
      </c>
      <c r="Z27" s="1104"/>
      <c r="AA27" s="1105"/>
      <c r="AB27" s="964">
        <f>MID(CONCATENATE('演算'!$M$232,'演算'!$M$499,'演算'!$M$778,'演算'!$M$1057,'演算'!$M$1336,REPT("　",130)),5*A27+1,5)</f>
      </c>
      <c r="AC27" s="969"/>
      <c r="AD27" s="1103">
        <f t="shared" si="0"/>
      </c>
      <c r="AE27" s="1104"/>
      <c r="AF27" s="952" t="str">
        <f t="shared" si="1"/>
        <v>～</v>
      </c>
      <c r="AG27" s="966">
        <f>MID(CONCATENATE('演算'!$M$233,'演算'!$M$500,'演算'!$M$779,'演算'!$M$1058,'演算'!$M$1337),5*A27+1,5)</f>
      </c>
      <c r="AH27" s="1104">
        <f t="shared" si="2"/>
      </c>
      <c r="AI27" s="1105"/>
      <c r="AJ27" s="953">
        <f>WIDECHAR(MID(CONCATENATE('演算'!$M$234,'演算'!$M$501,'演算'!$M$780,'演算'!$M$1059,'演算'!$M$1338),A27+1,1))</f>
      </c>
      <c r="AL27" s="184">
        <v>21</v>
      </c>
    </row>
    <row r="28" spans="1:38" s="65" customFormat="1" ht="18" customHeight="1">
      <c r="A28" s="65">
        <v>48</v>
      </c>
      <c r="B28" s="1121">
        <f>WIDECHAR(MID(CONCATENATE('演算'!$Q$10,'演算'!$Q$242,'演算'!$Q$521,'演算'!$Q$800,'演算'!$Q$1079),'演算'!$L$10*A28+1,'演算'!$L$10))</f>
      </c>
      <c r="C28" s="1123"/>
      <c r="D28" s="961">
        <f>WIDECHAR(MID(CONCATENATE('演算'!$Q$18,'演算'!$Q$254,'演算'!$Q$533,'演算'!$Q$812,'演算'!$Q$1091),'演算'!$L$18*A28+1,'演算'!$L$18))</f>
      </c>
      <c r="E28" s="970"/>
      <c r="F28" s="970"/>
      <c r="G28" s="970"/>
      <c r="H28" s="971"/>
      <c r="I28" s="1121">
        <f>WIDECHAR(MID(CONCATENATE('演算'!$Q$25,'演算'!$Q$265,'演算'!$Q$544,'演算'!$Q$823,'演算'!$Q$1102),'演算'!$L$25*A28+1,'演算'!$L$25))</f>
      </c>
      <c r="J28" s="1122"/>
      <c r="K28" s="1122"/>
      <c r="L28" s="961">
        <f>WIDECHAR(MID(CONCATENATE('演算'!$M$229,'演算'!$M$496,'演算'!$M$775,'演算'!$M$1054,'演算'!$M$1333),'演算'!$L$32*A28+1,'演算'!$L$32))</f>
      </c>
      <c r="M28" s="970"/>
      <c r="N28" s="970"/>
      <c r="O28" s="970"/>
      <c r="P28" s="970"/>
      <c r="Q28" s="970"/>
      <c r="R28" s="970"/>
      <c r="S28" s="970"/>
      <c r="T28" s="970"/>
      <c r="U28" s="971"/>
      <c r="V28" s="961">
        <f>WIDECHAR(MID(CONCATENATE('演算'!$M$230,'演算'!$M$497,'演算'!$M$776,'演算'!$M$1055,'演算'!$M$1334),'演算'!$L$40*A28+1,'演算'!$L$40))</f>
      </c>
      <c r="W28" s="970"/>
      <c r="X28" s="971"/>
      <c r="Y28" s="1103">
        <f>WIDECHAR(MID(CONCATENATE('演算'!$M$231,'演算'!$M$498,'演算'!$M$777,'演算'!$M$1056,'演算'!$M$1335),'演算'!$L$49*A28+1,'演算'!$L$49))</f>
      </c>
      <c r="Z28" s="1104"/>
      <c r="AA28" s="1105"/>
      <c r="AB28" s="964">
        <f>MID(CONCATENATE('演算'!$M$232,'演算'!$M$499,'演算'!$M$778,'演算'!$M$1057,'演算'!$M$1336,REPT("　",130)),5*A28+1,5)</f>
      </c>
      <c r="AC28" s="969"/>
      <c r="AD28" s="1103">
        <f t="shared" si="0"/>
      </c>
      <c r="AE28" s="1104"/>
      <c r="AF28" s="952" t="str">
        <f t="shared" si="1"/>
        <v>～</v>
      </c>
      <c r="AG28" s="966">
        <f>MID(CONCATENATE('演算'!$M$233,'演算'!$M$500,'演算'!$M$779,'演算'!$M$1058,'演算'!$M$1337),5*A28+1,5)</f>
      </c>
      <c r="AH28" s="1104">
        <f t="shared" si="2"/>
      </c>
      <c r="AI28" s="1105"/>
      <c r="AJ28" s="953">
        <f>WIDECHAR(MID(CONCATENATE('演算'!$M$234,'演算'!$M$501,'演算'!$M$780,'演算'!$M$1059,'演算'!$M$1338),A28+1,1))</f>
      </c>
      <c r="AL28" s="184">
        <v>22</v>
      </c>
    </row>
    <row r="29" spans="1:38" ht="18" customHeight="1">
      <c r="A29" s="65">
        <v>49</v>
      </c>
      <c r="B29" s="1121">
        <f>WIDECHAR(MID(CONCATENATE('演算'!$Q$10,'演算'!$Q$242,'演算'!$Q$521,'演算'!$Q$800,'演算'!$Q$1079),'演算'!$L$10*A29+1,'演算'!$L$10))</f>
      </c>
      <c r="C29" s="1123"/>
      <c r="D29" s="961">
        <f>WIDECHAR(MID(CONCATENATE('演算'!$Q$18,'演算'!$Q$254,'演算'!$Q$533,'演算'!$Q$812,'演算'!$Q$1091),'演算'!$L$18*A29+1,'演算'!$L$18))</f>
      </c>
      <c r="E29" s="972"/>
      <c r="F29" s="972"/>
      <c r="G29" s="972"/>
      <c r="H29" s="973"/>
      <c r="I29" s="1121">
        <f>WIDECHAR(MID(CONCATENATE('演算'!$Q$25,'演算'!$Q$265,'演算'!$Q$544,'演算'!$Q$823,'演算'!$Q$1102),'演算'!$L$25*A29+1,'演算'!$L$25))</f>
      </c>
      <c r="J29" s="1122"/>
      <c r="K29" s="1122"/>
      <c r="L29" s="961">
        <f>WIDECHAR(MID(CONCATENATE('演算'!$M$229,'演算'!$M$496,'演算'!$M$775,'演算'!$M$1054,'演算'!$M$1333),'演算'!$L$32*A29+1,'演算'!$L$32))</f>
      </c>
      <c r="M29" s="967"/>
      <c r="N29" s="967"/>
      <c r="O29" s="972"/>
      <c r="P29" s="972"/>
      <c r="Q29" s="972"/>
      <c r="R29" s="972"/>
      <c r="S29" s="972"/>
      <c r="T29" s="972"/>
      <c r="U29" s="973"/>
      <c r="V29" s="961">
        <f>WIDECHAR(MID(CONCATENATE('演算'!$M$230,'演算'!$M$497,'演算'!$M$776,'演算'!$M$1055,'演算'!$M$1334),'演算'!$L$40*A29+1,'演算'!$L$40))</f>
      </c>
      <c r="W29" s="972"/>
      <c r="X29" s="973"/>
      <c r="Y29" s="1103">
        <f>WIDECHAR(MID(CONCATENATE('演算'!$M$231,'演算'!$M$498,'演算'!$M$777,'演算'!$M$1056,'演算'!$M$1335),'演算'!$L$49*A29+1,'演算'!$L$49))</f>
      </c>
      <c r="Z29" s="1104"/>
      <c r="AA29" s="1105"/>
      <c r="AB29" s="964">
        <f>MID(CONCATENATE('演算'!$M$232,'演算'!$M$499,'演算'!$M$778,'演算'!$M$1057,'演算'!$M$1336,REPT("　",130)),5*A29+1,5)</f>
      </c>
      <c r="AC29" s="969"/>
      <c r="AD29" s="1103">
        <f t="shared" si="0"/>
      </c>
      <c r="AE29" s="1104"/>
      <c r="AF29" s="952" t="str">
        <f t="shared" si="1"/>
        <v>～</v>
      </c>
      <c r="AG29" s="966">
        <f>MID(CONCATENATE('演算'!$M$233,'演算'!$M$500,'演算'!$M$779,'演算'!$M$1058,'演算'!$M$1337),5*A29+1,5)</f>
      </c>
      <c r="AH29" s="1104">
        <f t="shared" si="2"/>
      </c>
      <c r="AI29" s="1105"/>
      <c r="AJ29" s="953">
        <f>WIDECHAR(MID(CONCATENATE('演算'!$M$234,'演算'!$M$501,'演算'!$M$780,'演算'!$M$1059,'演算'!$M$1338),A29+1,1))</f>
      </c>
      <c r="AL29" s="184">
        <v>23</v>
      </c>
    </row>
    <row r="30" spans="1:38" ht="18" customHeight="1">
      <c r="A30" s="65">
        <v>50</v>
      </c>
      <c r="B30" s="1121">
        <f>WIDECHAR(MID(CONCATENATE('演算'!$Q$10,'演算'!$Q$242,'演算'!$Q$521,'演算'!$Q$800,'演算'!$Q$1079),'演算'!$L$10*A30+1,'演算'!$L$10))</f>
      </c>
      <c r="C30" s="1123"/>
      <c r="D30" s="961">
        <f>WIDECHAR(MID(CONCATENATE('演算'!$Q$18,'演算'!$Q$254,'演算'!$Q$533,'演算'!$Q$812,'演算'!$Q$1091),'演算'!$L$18*A30+1,'演算'!$L$18))</f>
      </c>
      <c r="E30" s="972"/>
      <c r="F30" s="972"/>
      <c r="G30" s="972"/>
      <c r="H30" s="973"/>
      <c r="I30" s="1121">
        <f>WIDECHAR(MID(CONCATENATE('演算'!$Q$25,'演算'!$Q$265,'演算'!$Q$544,'演算'!$Q$823,'演算'!$Q$1102),'演算'!$L$25*A30+1,'演算'!$L$25))</f>
      </c>
      <c r="J30" s="1122"/>
      <c r="K30" s="1122"/>
      <c r="L30" s="961">
        <f>WIDECHAR(MID(CONCATENATE('演算'!$M$229,'演算'!$M$496,'演算'!$M$775,'演算'!$M$1054,'演算'!$M$1333),'演算'!$L$32*A30+1,'演算'!$L$32))</f>
      </c>
      <c r="M30" s="967"/>
      <c r="N30" s="967"/>
      <c r="O30" s="972"/>
      <c r="P30" s="972"/>
      <c r="Q30" s="972"/>
      <c r="R30" s="972"/>
      <c r="S30" s="972"/>
      <c r="T30" s="972"/>
      <c r="U30" s="973"/>
      <c r="V30" s="961">
        <f>WIDECHAR(MID(CONCATENATE('演算'!$M$230,'演算'!$M$497,'演算'!$M$776,'演算'!$M$1055,'演算'!$M$1334),'演算'!$L$40*A30+1,'演算'!$L$40))</f>
      </c>
      <c r="W30" s="972"/>
      <c r="X30" s="973"/>
      <c r="Y30" s="1103">
        <f>WIDECHAR(MID(CONCATENATE('演算'!$M$231,'演算'!$M$498,'演算'!$M$777,'演算'!$M$1056,'演算'!$M$1335),'演算'!$L$49*A30+1,'演算'!$L$49))</f>
      </c>
      <c r="Z30" s="1104"/>
      <c r="AA30" s="1105"/>
      <c r="AB30" s="964">
        <f>MID(CONCATENATE('演算'!$M$232,'演算'!$M$499,'演算'!$M$778,'演算'!$M$1057,'演算'!$M$1336,REPT("　",130)),5*A30+1,5)</f>
      </c>
      <c r="AC30" s="969"/>
      <c r="AD30" s="1103">
        <f t="shared" si="0"/>
      </c>
      <c r="AE30" s="1104"/>
      <c r="AF30" s="952" t="str">
        <f t="shared" si="1"/>
        <v>～</v>
      </c>
      <c r="AG30" s="966">
        <f>MID(CONCATENATE('演算'!$M$233,'演算'!$M$500,'演算'!$M$779,'演算'!$M$1058,'演算'!$M$1337),5*A30+1,5)</f>
      </c>
      <c r="AH30" s="1104">
        <f t="shared" si="2"/>
      </c>
      <c r="AI30" s="1105"/>
      <c r="AJ30" s="953">
        <f>WIDECHAR(MID(CONCATENATE('演算'!$M$234,'演算'!$M$501,'演算'!$M$780,'演算'!$M$1059,'演算'!$M$1338),A30+1,1))</f>
      </c>
      <c r="AL30" s="184">
        <v>24</v>
      </c>
    </row>
    <row r="31" spans="1:38" ht="18" customHeight="1">
      <c r="A31" s="65">
        <v>51</v>
      </c>
      <c r="B31" s="1121">
        <f>WIDECHAR(MID(CONCATENATE('演算'!$Q$10,'演算'!$Q$242,'演算'!$Q$521,'演算'!$Q$800,'演算'!$Q$1079),'演算'!$L$10*A31+1,'演算'!$L$10))</f>
      </c>
      <c r="C31" s="1123"/>
      <c r="D31" s="961">
        <f>WIDECHAR(MID(CONCATENATE('演算'!$Q$18,'演算'!$Q$254,'演算'!$Q$533,'演算'!$Q$812,'演算'!$Q$1091),'演算'!$L$18*A31+1,'演算'!$L$18))</f>
      </c>
      <c r="E31" s="974"/>
      <c r="F31" s="974"/>
      <c r="G31" s="974"/>
      <c r="H31" s="975"/>
      <c r="I31" s="1121">
        <f>WIDECHAR(MID(CONCATENATE('演算'!$Q$25,'演算'!$Q$265,'演算'!$Q$544,'演算'!$Q$823,'演算'!$Q$1102),'演算'!$L$25*A31+1,'演算'!$L$25))</f>
      </c>
      <c r="J31" s="1122"/>
      <c r="K31" s="1122"/>
      <c r="L31" s="961">
        <f>WIDECHAR(MID(CONCATENATE('演算'!$M$229,'演算'!$M$496,'演算'!$M$775,'演算'!$M$1054,'演算'!$M$1333),'演算'!$L$32*A31+1,'演算'!$L$32))</f>
      </c>
      <c r="M31" s="967"/>
      <c r="N31" s="967"/>
      <c r="O31" s="974"/>
      <c r="P31" s="974"/>
      <c r="Q31" s="974"/>
      <c r="R31" s="974"/>
      <c r="S31" s="974"/>
      <c r="T31" s="974"/>
      <c r="U31" s="975"/>
      <c r="V31" s="961">
        <f>WIDECHAR(MID(CONCATENATE('演算'!$M$230,'演算'!$M$497,'演算'!$M$776,'演算'!$M$1055,'演算'!$M$1334),'演算'!$L$40*A31+1,'演算'!$L$40))</f>
      </c>
      <c r="W31" s="974"/>
      <c r="X31" s="975"/>
      <c r="Y31" s="1103">
        <f>WIDECHAR(MID(CONCATENATE('演算'!$M$231,'演算'!$M$498,'演算'!$M$777,'演算'!$M$1056,'演算'!$M$1335),'演算'!$L$49*A31+1,'演算'!$L$49))</f>
      </c>
      <c r="Z31" s="1104"/>
      <c r="AA31" s="1105"/>
      <c r="AB31" s="964">
        <f>MID(CONCATENATE('演算'!$M$232,'演算'!$M$499,'演算'!$M$778,'演算'!$M$1057,'演算'!$M$1336,REPT("　",130)),5*A31+1,5)</f>
      </c>
      <c r="AC31" s="969"/>
      <c r="AD31" s="1103">
        <f t="shared" si="0"/>
      </c>
      <c r="AE31" s="1104"/>
      <c r="AF31" s="952" t="str">
        <f t="shared" si="1"/>
        <v>～</v>
      </c>
      <c r="AG31" s="966">
        <f>MID(CONCATENATE('演算'!$M$233,'演算'!$M$500,'演算'!$M$779,'演算'!$M$1058,'演算'!$M$1337),5*A31+1,5)</f>
      </c>
      <c r="AH31" s="1104">
        <f t="shared" si="2"/>
      </c>
      <c r="AI31" s="1105"/>
      <c r="AJ31" s="953">
        <f>WIDECHAR(MID(CONCATENATE('演算'!$M$234,'演算'!$M$501,'演算'!$M$780,'演算'!$M$1059,'演算'!$M$1338),A31+1,1))</f>
      </c>
      <c r="AL31" s="184">
        <v>25</v>
      </c>
    </row>
    <row r="32" spans="1:38" ht="18" customHeight="1">
      <c r="A32" s="65">
        <v>52</v>
      </c>
      <c r="B32" s="1121">
        <f>WIDECHAR(MID(CONCATENATE('演算'!$Q$10,'演算'!$Q$242,'演算'!$Q$521,'演算'!$Q$800,'演算'!$Q$1079),'演算'!$L$10*A32+1,'演算'!$L$10))</f>
      </c>
      <c r="C32" s="1123"/>
      <c r="D32" s="961">
        <f>WIDECHAR(MID(CONCATENATE('演算'!$Q$18,'演算'!$Q$254,'演算'!$Q$533,'演算'!$Q$812,'演算'!$Q$1091),'演算'!$L$18*A32+1,'演算'!$L$18))</f>
      </c>
      <c r="E32" s="974"/>
      <c r="F32" s="974"/>
      <c r="G32" s="974"/>
      <c r="H32" s="975"/>
      <c r="I32" s="1121">
        <f>WIDECHAR(MID(CONCATENATE('演算'!$Q$25,'演算'!$Q$265,'演算'!$Q$544,'演算'!$Q$823,'演算'!$Q$1102),'演算'!$L$25*A32+1,'演算'!$L$25))</f>
      </c>
      <c r="J32" s="1122"/>
      <c r="K32" s="1122"/>
      <c r="L32" s="961">
        <f>WIDECHAR(MID(CONCATENATE('演算'!$M$229,'演算'!$M$496,'演算'!$M$775,'演算'!$M$1054,'演算'!$M$1333),'演算'!$L$32*A32+1,'演算'!$L$32))</f>
      </c>
      <c r="M32" s="967"/>
      <c r="N32" s="967"/>
      <c r="O32" s="974"/>
      <c r="P32" s="974"/>
      <c r="Q32" s="974"/>
      <c r="R32" s="974"/>
      <c r="S32" s="974"/>
      <c r="T32" s="974"/>
      <c r="U32" s="975"/>
      <c r="V32" s="961">
        <f>WIDECHAR(MID(CONCATENATE('演算'!$M$230,'演算'!$M$497,'演算'!$M$776,'演算'!$M$1055,'演算'!$M$1334),'演算'!$L$40*A32+1,'演算'!$L$40))</f>
      </c>
      <c r="W32" s="974"/>
      <c r="X32" s="975"/>
      <c r="Y32" s="1103">
        <f>WIDECHAR(MID(CONCATENATE('演算'!$M$231,'演算'!$M$498,'演算'!$M$777,'演算'!$M$1056,'演算'!$M$1335),'演算'!$L$49*A32+1,'演算'!$L$49))</f>
      </c>
      <c r="Z32" s="1104"/>
      <c r="AA32" s="1105"/>
      <c r="AB32" s="964">
        <f>MID(CONCATENATE('演算'!$M$232,'演算'!$M$499,'演算'!$M$778,'演算'!$M$1057,'演算'!$M$1336,REPT("　",130)),5*A32+1,5)</f>
      </c>
      <c r="AC32" s="969"/>
      <c r="AD32" s="1103">
        <f t="shared" si="0"/>
      </c>
      <c r="AE32" s="1104"/>
      <c r="AF32" s="952" t="str">
        <f t="shared" si="1"/>
        <v>～</v>
      </c>
      <c r="AG32" s="966">
        <f>MID(CONCATENATE('演算'!$M$233,'演算'!$M$500,'演算'!$M$779,'演算'!$M$1058,'演算'!$M$1337),5*A32+1,5)</f>
      </c>
      <c r="AH32" s="1104">
        <f t="shared" si="2"/>
      </c>
      <c r="AI32" s="1105"/>
      <c r="AJ32" s="953">
        <f>WIDECHAR(MID(CONCATENATE('演算'!$M$234,'演算'!$M$501,'演算'!$M$780,'演算'!$M$1059,'演算'!$M$1338),A32+1,1))</f>
      </c>
      <c r="AL32" s="184">
        <v>26</v>
      </c>
    </row>
    <row r="33" spans="1:38" ht="18" customHeight="1">
      <c r="A33" s="65">
        <v>53</v>
      </c>
      <c r="B33" s="1121">
        <f>WIDECHAR(MID(CONCATENATE('演算'!$Q$10,'演算'!$Q$242,'演算'!$Q$521,'演算'!$Q$800,'演算'!$Q$1079),'演算'!$L$10*A33+1,'演算'!$L$10))</f>
      </c>
      <c r="C33" s="1123"/>
      <c r="D33" s="961">
        <f>WIDECHAR(MID(CONCATENATE('演算'!$Q$18,'演算'!$Q$254,'演算'!$Q$533,'演算'!$Q$812,'演算'!$Q$1091),'演算'!$L$18*A33+1,'演算'!$L$18))</f>
      </c>
      <c r="E33" s="976"/>
      <c r="F33" s="976"/>
      <c r="G33" s="976"/>
      <c r="H33" s="1000"/>
      <c r="I33" s="1121">
        <f>WIDECHAR(MID(CONCATENATE('演算'!$Q$25,'演算'!$Q$265,'演算'!$Q$544,'演算'!$Q$823,'演算'!$Q$1102),'演算'!$L$25*A33+1,'演算'!$L$25))</f>
      </c>
      <c r="J33" s="1122"/>
      <c r="K33" s="1122"/>
      <c r="L33" s="961">
        <f>WIDECHAR(MID(CONCATENATE('演算'!$M$229,'演算'!$M$496,'演算'!$M$775,'演算'!$M$1054,'演算'!$M$1333),'演算'!$L$32*A33+1,'演算'!$L$32))</f>
      </c>
      <c r="M33" s="970"/>
      <c r="N33" s="970"/>
      <c r="O33" s="976"/>
      <c r="P33" s="976"/>
      <c r="Q33" s="976"/>
      <c r="R33" s="976"/>
      <c r="S33" s="976"/>
      <c r="T33" s="976"/>
      <c r="U33" s="977"/>
      <c r="V33" s="961">
        <f>WIDECHAR(MID(CONCATENATE('演算'!$M$230,'演算'!$M$497,'演算'!$M$776,'演算'!$M$1055,'演算'!$M$1334),'演算'!$L$40*A33+1,'演算'!$L$40))</f>
      </c>
      <c r="W33" s="976"/>
      <c r="X33" s="977"/>
      <c r="Y33" s="1103">
        <f>WIDECHAR(MID(CONCATENATE('演算'!$M$231,'演算'!$M$498,'演算'!$M$777,'演算'!$M$1056,'演算'!$M$1335),'演算'!$L$49*A33+1,'演算'!$L$49))</f>
      </c>
      <c r="Z33" s="1104"/>
      <c r="AA33" s="1105"/>
      <c r="AB33" s="964">
        <f>MID(CONCATENATE('演算'!$M$232,'演算'!$M$499,'演算'!$M$778,'演算'!$M$1057,'演算'!$M$1336,REPT("　",130)),5*A33+1,5)</f>
      </c>
      <c r="AC33" s="978"/>
      <c r="AD33" s="1106">
        <f>ASC(AB33)</f>
      </c>
      <c r="AE33" s="1107"/>
      <c r="AF33" s="979" t="str">
        <f>IF(AB33=0,"　",IF(AB33=REPT("　",5)," ","～"))</f>
        <v>～</v>
      </c>
      <c r="AG33" s="966">
        <f>MID(CONCATENATE('演算'!$M$233,'演算'!$M$500,'演算'!$M$779,'演算'!$M$1058,'演算'!$M$1337),5*A33+1,5)</f>
      </c>
      <c r="AH33" s="1107">
        <f>ASC(AG33)</f>
      </c>
      <c r="AI33" s="1098"/>
      <c r="AJ33" s="953">
        <f>WIDECHAR(MID(CONCATENATE('演算'!$M$234,'演算'!$M$501,'演算'!$M$780,'演算'!$M$1059,'演算'!$M$1338),A33+1,1))</f>
      </c>
      <c r="AL33" s="184">
        <v>27</v>
      </c>
    </row>
    <row r="34" spans="1:36" ht="6" customHeight="1">
      <c r="A34" s="180"/>
      <c r="B34" s="803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803"/>
      <c r="AB34" s="980"/>
      <c r="AC34" s="948"/>
      <c r="AD34" s="948"/>
      <c r="AE34" s="948"/>
      <c r="AF34" s="948"/>
      <c r="AG34" s="948"/>
      <c r="AH34" s="948"/>
      <c r="AI34" s="948"/>
      <c r="AJ34" s="803"/>
    </row>
    <row r="35" spans="2:36" ht="15" customHeight="1">
      <c r="B35" s="981"/>
      <c r="C35" s="981"/>
      <c r="D35" s="981"/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1"/>
      <c r="P35" s="981"/>
      <c r="Q35" s="981"/>
      <c r="R35" s="981"/>
      <c r="S35" s="981"/>
      <c r="T35" s="981"/>
      <c r="U35" s="981"/>
      <c r="V35" s="981"/>
      <c r="W35" s="814"/>
      <c r="X35" s="1108" t="s">
        <v>319</v>
      </c>
      <c r="Y35" s="1108"/>
      <c r="Z35" s="1108">
        <f>IF('記入シート'!R16=0,"",WIDECHAR('記入シート'!R16))</f>
      </c>
      <c r="AA35" s="1108"/>
      <c r="AB35" s="958" t="s">
        <v>405</v>
      </c>
      <c r="AC35" s="958" t="s">
        <v>405</v>
      </c>
      <c r="AD35" s="958" t="s">
        <v>405</v>
      </c>
      <c r="AE35" s="982">
        <f>IF('記入シート'!V16=0,"",WIDECHAR('記入シート'!V16))</f>
      </c>
      <c r="AF35" s="949" t="s">
        <v>406</v>
      </c>
      <c r="AG35" s="949"/>
      <c r="AH35" s="949">
        <f>IF('記入シート'!Y16=0,"",WIDECHAR('記入シート'!Y16))</f>
      </c>
      <c r="AI35" s="949" t="s">
        <v>409</v>
      </c>
      <c r="AJ35" s="981"/>
    </row>
  </sheetData>
  <sheetProtection sheet="1" objects="1" scenarios="1" selectLockedCells="1" selectUnlockedCells="1"/>
  <mergeCells count="154">
    <mergeCell ref="Z1:AA1"/>
    <mergeCell ref="D1:U1"/>
    <mergeCell ref="I33:K33"/>
    <mergeCell ref="I29:K29"/>
    <mergeCell ref="I30:K30"/>
    <mergeCell ref="I31:K31"/>
    <mergeCell ref="I32:K32"/>
    <mergeCell ref="I25:K25"/>
    <mergeCell ref="I26:K26"/>
    <mergeCell ref="I27:K27"/>
    <mergeCell ref="I28:K28"/>
    <mergeCell ref="Z35:AA35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13:K13"/>
    <mergeCell ref="I14:K14"/>
    <mergeCell ref="K3:L3"/>
    <mergeCell ref="I8:K8"/>
    <mergeCell ref="I9:K9"/>
    <mergeCell ref="I10:K10"/>
    <mergeCell ref="I11:K11"/>
    <mergeCell ref="I6:K6"/>
    <mergeCell ref="B4:AJ4"/>
    <mergeCell ref="H3:I3"/>
    <mergeCell ref="I7:K7"/>
    <mergeCell ref="Y30:AA30"/>
    <mergeCell ref="Y22:AA22"/>
    <mergeCell ref="Y23:AA23"/>
    <mergeCell ref="Y24:AA24"/>
    <mergeCell ref="Y25:AA25"/>
    <mergeCell ref="Y18:AA18"/>
    <mergeCell ref="Y19:AA19"/>
    <mergeCell ref="I12:K12"/>
    <mergeCell ref="Y20:AA20"/>
    <mergeCell ref="Y31:AA31"/>
    <mergeCell ref="Y32:AA32"/>
    <mergeCell ref="Y33:AA33"/>
    <mergeCell ref="Y26:AA26"/>
    <mergeCell ref="Y27:AA27"/>
    <mergeCell ref="Y28:AA28"/>
    <mergeCell ref="Y29:AA29"/>
    <mergeCell ref="Y21:AA21"/>
    <mergeCell ref="Y14:AA14"/>
    <mergeCell ref="Y15:AA15"/>
    <mergeCell ref="Y16:AA16"/>
    <mergeCell ref="Y17:AA17"/>
    <mergeCell ref="Y10:AA10"/>
    <mergeCell ref="Y11:AA11"/>
    <mergeCell ref="Y12:AA12"/>
    <mergeCell ref="Y13:AA13"/>
    <mergeCell ref="Y7:AA7"/>
    <mergeCell ref="Y6:AA6"/>
    <mergeCell ref="Y8:AA8"/>
    <mergeCell ref="Y9:AA9"/>
    <mergeCell ref="AD33:AE33"/>
    <mergeCell ref="AH33:AI33"/>
    <mergeCell ref="AD31:AE31"/>
    <mergeCell ref="AH31:AI31"/>
    <mergeCell ref="AD32:AE32"/>
    <mergeCell ref="AH32:AI32"/>
    <mergeCell ref="AD29:AE29"/>
    <mergeCell ref="AH29:AI29"/>
    <mergeCell ref="AD30:AE30"/>
    <mergeCell ref="AH30:AI30"/>
    <mergeCell ref="AD27:AE27"/>
    <mergeCell ref="AH27:AI27"/>
    <mergeCell ref="AD28:AE28"/>
    <mergeCell ref="AH28:AI28"/>
    <mergeCell ref="AD25:AE25"/>
    <mergeCell ref="AH25:AI25"/>
    <mergeCell ref="AD26:AE26"/>
    <mergeCell ref="AH26:AI26"/>
    <mergeCell ref="AD23:AE23"/>
    <mergeCell ref="AH23:AI23"/>
    <mergeCell ref="AD24:AE24"/>
    <mergeCell ref="AH24:AI24"/>
    <mergeCell ref="AD21:AE21"/>
    <mergeCell ref="AH21:AI21"/>
    <mergeCell ref="AD22:AE22"/>
    <mergeCell ref="AH22:AI22"/>
    <mergeCell ref="AD19:AE19"/>
    <mergeCell ref="AH19:AI19"/>
    <mergeCell ref="AD20:AE20"/>
    <mergeCell ref="AH20:AI20"/>
    <mergeCell ref="AD17:AE17"/>
    <mergeCell ref="AH17:AI17"/>
    <mergeCell ref="AD18:AE18"/>
    <mergeCell ref="AH18:AI18"/>
    <mergeCell ref="AD15:AE15"/>
    <mergeCell ref="AH15:AI15"/>
    <mergeCell ref="AD16:AE16"/>
    <mergeCell ref="AH16:AI16"/>
    <mergeCell ref="AD13:AE13"/>
    <mergeCell ref="AH13:AI13"/>
    <mergeCell ref="AD14:AE14"/>
    <mergeCell ref="AH14:AI14"/>
    <mergeCell ref="AD11:AE11"/>
    <mergeCell ref="AH11:AI11"/>
    <mergeCell ref="AD12:AE12"/>
    <mergeCell ref="AH12:AI12"/>
    <mergeCell ref="AD9:AE9"/>
    <mergeCell ref="AH9:AI9"/>
    <mergeCell ref="AD10:AE10"/>
    <mergeCell ref="AH10:AI10"/>
    <mergeCell ref="AD7:AE7"/>
    <mergeCell ref="AH7:AI7"/>
    <mergeCell ref="AD8:AE8"/>
    <mergeCell ref="AH8:AI8"/>
    <mergeCell ref="B28:C28"/>
    <mergeCell ref="B22:C22"/>
    <mergeCell ref="L5:AJ5"/>
    <mergeCell ref="AB6:AI6"/>
    <mergeCell ref="B26:C26"/>
    <mergeCell ref="B27:C27"/>
    <mergeCell ref="B24:C24"/>
    <mergeCell ref="B25:C25"/>
    <mergeCell ref="B21:C21"/>
    <mergeCell ref="I24:K24"/>
    <mergeCell ref="C3:D3"/>
    <mergeCell ref="U3:Y3"/>
    <mergeCell ref="B20:C20"/>
    <mergeCell ref="B19:C19"/>
    <mergeCell ref="B18:C18"/>
    <mergeCell ref="B17:C17"/>
    <mergeCell ref="B16:C16"/>
    <mergeCell ref="B15:C15"/>
    <mergeCell ref="B5:C5"/>
    <mergeCell ref="B23:C23"/>
    <mergeCell ref="L6:U6"/>
    <mergeCell ref="V6:X6"/>
    <mergeCell ref="B7:C7"/>
    <mergeCell ref="B8:C8"/>
    <mergeCell ref="B13:C13"/>
    <mergeCell ref="B12:C12"/>
    <mergeCell ref="B11:C11"/>
    <mergeCell ref="B10:C10"/>
    <mergeCell ref="D6:H6"/>
    <mergeCell ref="X35:Y35"/>
    <mergeCell ref="B6:C6"/>
    <mergeCell ref="D5:K5"/>
    <mergeCell ref="B9:C9"/>
    <mergeCell ref="B33:C33"/>
    <mergeCell ref="B29:C29"/>
    <mergeCell ref="B30:C30"/>
    <mergeCell ref="B31:C31"/>
    <mergeCell ref="B32:C32"/>
    <mergeCell ref="B14:C14"/>
  </mergeCells>
  <printOptions horizontalCentered="1"/>
  <pageMargins left="0" right="0" top="0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B1">
      <selection activeCell="D1" sqref="D1:U1"/>
    </sheetView>
  </sheetViews>
  <sheetFormatPr defaultColWidth="9.00390625" defaultRowHeight="13.5"/>
  <cols>
    <col min="1" max="1" width="2.625" style="0" hidden="1" customWidth="1"/>
    <col min="2" max="2" width="6.625" style="0" customWidth="1"/>
    <col min="3" max="3" width="15.75390625" style="0" customWidth="1"/>
    <col min="4" max="4" width="4.375" style="0" customWidth="1"/>
    <col min="5" max="6" width="2.50390625" style="0" customWidth="1"/>
    <col min="7" max="7" width="6.25390625" style="0" customWidth="1"/>
    <col min="8" max="8" width="3.125" style="0" customWidth="1"/>
    <col min="9" max="9" width="15.625" style="0" customWidth="1"/>
    <col min="10" max="10" width="2.50390625" style="0" customWidth="1"/>
    <col min="11" max="11" width="0.6171875" style="0" customWidth="1"/>
    <col min="12" max="12" width="5.75390625" style="0" customWidth="1"/>
    <col min="13" max="13" width="5.125" style="0" customWidth="1"/>
    <col min="14" max="14" width="2.875" style="0" customWidth="1"/>
    <col min="15" max="15" width="3.125" style="0" customWidth="1"/>
    <col min="16" max="16" width="2.375" style="0" customWidth="1"/>
    <col min="17" max="17" width="3.125" style="0" customWidth="1"/>
    <col min="18" max="19" width="2.50390625" style="0" customWidth="1"/>
    <col min="20" max="20" width="6.50390625" style="0" customWidth="1"/>
    <col min="21" max="21" width="2.25390625" style="0" customWidth="1"/>
    <col min="22" max="22" width="5.00390625" style="0" customWidth="1"/>
    <col min="23" max="23" width="4.50390625" style="0" customWidth="1"/>
    <col min="24" max="24" width="2.125" style="0" customWidth="1"/>
    <col min="25" max="25" width="6.125" style="0" customWidth="1"/>
    <col min="26" max="26" width="2.50390625" style="0" customWidth="1"/>
    <col min="27" max="27" width="3.125" style="0" customWidth="1"/>
    <col min="28" max="28" width="4.625" style="207" hidden="1" customWidth="1"/>
    <col min="29" max="29" width="4.625" style="1" hidden="1" customWidth="1"/>
    <col min="30" max="31" width="3.50390625" style="265" customWidth="1"/>
    <col min="32" max="32" width="3.625" style="1" customWidth="1"/>
    <col min="33" max="33" width="9.625" style="1" hidden="1" customWidth="1"/>
    <col min="34" max="35" width="3.625" style="190" customWidth="1"/>
    <col min="36" max="36" width="6.25390625" style="0" customWidth="1"/>
    <col min="37" max="37" width="1.25" style="0" customWidth="1"/>
    <col min="38" max="38" width="2.625" style="0" hidden="1" customWidth="1"/>
    <col min="39" max="39" width="0.6171875" style="0" customWidth="1"/>
  </cols>
  <sheetData>
    <row r="1" spans="2:36" ht="18.75" customHeight="1">
      <c r="B1" s="955" t="s">
        <v>390</v>
      </c>
      <c r="C1" s="956">
        <v>-3</v>
      </c>
      <c r="D1" s="1116" t="s">
        <v>391</v>
      </c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957"/>
      <c r="W1" s="957"/>
      <c r="X1" s="957"/>
      <c r="Y1" s="996" t="s">
        <v>499</v>
      </c>
      <c r="Z1" s="1100">
        <f>IF('記入シート'!C9="","",WIDECHAR('記入シート'!C9))</f>
      </c>
      <c r="AA1" s="1100"/>
      <c r="AB1" s="996"/>
      <c r="AC1" s="996"/>
      <c r="AD1" s="996" t="s">
        <v>405</v>
      </c>
      <c r="AE1" s="996">
        <f>IF('記入シート'!E9="","",WIDECHAR('記入シート'!E9))</f>
      </c>
      <c r="AF1" s="996" t="s">
        <v>406</v>
      </c>
      <c r="AG1" s="996"/>
      <c r="AH1" s="996">
        <f>IF('記入シート'!H9="","",WIDECHAR('記入シート'!H9))</f>
      </c>
      <c r="AI1" s="996" t="s">
        <v>500</v>
      </c>
      <c r="AJ1" s="957"/>
    </row>
    <row r="2" spans="2:36" ht="11.25" customHeigh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 t="s">
        <v>72</v>
      </c>
      <c r="AB2" s="814"/>
      <c r="AC2" s="814"/>
      <c r="AD2" s="814"/>
      <c r="AE2" s="814"/>
      <c r="AF2" s="814"/>
      <c r="AG2" s="814"/>
      <c r="AH2" s="814"/>
      <c r="AI2" s="814"/>
      <c r="AJ2" s="814"/>
    </row>
    <row r="3" spans="2:36" ht="15" customHeight="1">
      <c r="B3" s="958" t="s">
        <v>392</v>
      </c>
      <c r="C3" s="1109" t="str">
        <f>IF('記入シート'!C6=0," ",IF(LEN('記入シート'!C6)&gt;10,"※　文字数過多　※",WIDECHAR(LEFT('記入シート'!C6,10))))</f>
        <v> </v>
      </c>
      <c r="D3" s="1109"/>
      <c r="E3" s="950" t="s">
        <v>393</v>
      </c>
      <c r="F3" s="959"/>
      <c r="G3" s="949" t="s">
        <v>401</v>
      </c>
      <c r="H3" s="1109" t="str">
        <f>IF('記入シート'!C13=0," ",IF(LEN('記入シート'!C13)&gt;10,"※　文字数過多　※",WIDECHAR(LEFT('記入シート'!C13,10))))</f>
        <v> </v>
      </c>
      <c r="I3" s="1109"/>
      <c r="J3" s="959"/>
      <c r="K3" s="1100" t="s">
        <v>407</v>
      </c>
      <c r="L3" s="1100"/>
      <c r="M3" s="996">
        <f>IF('記入シート'!$C$16="","",WIDECHAR('記入シート'!$C$16))</f>
      </c>
      <c r="N3" s="996" t="s">
        <v>405</v>
      </c>
      <c r="O3" s="996">
        <f>IF('記入シート'!$E$16="","",WIDECHAR('記入シート'!$E$16))</f>
      </c>
      <c r="P3" s="1003" t="s">
        <v>406</v>
      </c>
      <c r="Q3" s="1001">
        <f>IF('記入シート'!H16="","",WIDECHAR('記入シート'!H16))</f>
      </c>
      <c r="R3" s="997" t="s">
        <v>409</v>
      </c>
      <c r="T3" s="954" t="s">
        <v>410</v>
      </c>
      <c r="U3" s="1109" t="str">
        <f>IF('記入シート'!C20=0," ",IF(LEN('記入シート'!C20)&gt;10,"※　文字数過多　※",WIDECHAR(LEFT('記入シート'!C20,10))))</f>
        <v> </v>
      </c>
      <c r="V3" s="1109"/>
      <c r="W3" s="1109"/>
      <c r="X3" s="1109"/>
      <c r="Y3" s="1109"/>
      <c r="Z3" s="814"/>
      <c r="AA3" s="982" t="s">
        <v>71</v>
      </c>
      <c r="AB3" s="982"/>
      <c r="AC3" s="982"/>
      <c r="AD3" s="982"/>
      <c r="AE3" s="982"/>
      <c r="AF3" s="982"/>
      <c r="AG3" s="982"/>
      <c r="AH3" s="982"/>
      <c r="AI3" s="982"/>
      <c r="AJ3" s="982"/>
    </row>
    <row r="4" spans="2:36" ht="6" customHeight="1"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8"/>
      <c r="AE4" s="1108"/>
      <c r="AF4" s="1108"/>
      <c r="AG4" s="1108"/>
      <c r="AH4" s="1108"/>
      <c r="AI4" s="1108"/>
      <c r="AJ4" s="1108"/>
    </row>
    <row r="5" spans="2:36" ht="17.25" customHeight="1">
      <c r="B5" s="1119" t="s">
        <v>394</v>
      </c>
      <c r="C5" s="1120"/>
      <c r="D5" s="1110" t="s">
        <v>395</v>
      </c>
      <c r="E5" s="1111"/>
      <c r="F5" s="1111"/>
      <c r="G5" s="1111"/>
      <c r="H5" s="1111"/>
      <c r="I5" s="1111"/>
      <c r="J5" s="1111"/>
      <c r="K5" s="1111"/>
      <c r="L5" s="1110" t="s">
        <v>396</v>
      </c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111"/>
      <c r="AE5" s="1111"/>
      <c r="AF5" s="1111"/>
      <c r="AG5" s="1111"/>
      <c r="AH5" s="1111"/>
      <c r="AI5" s="1111"/>
      <c r="AJ5" s="1112"/>
    </row>
    <row r="6" spans="2:36" ht="17.25" customHeight="1">
      <c r="B6" s="1113" t="s">
        <v>397</v>
      </c>
      <c r="C6" s="1114"/>
      <c r="D6" s="1110" t="s">
        <v>398</v>
      </c>
      <c r="E6" s="1111"/>
      <c r="F6" s="1111"/>
      <c r="G6" s="1111"/>
      <c r="H6" s="1112"/>
      <c r="I6" s="1110" t="s">
        <v>399</v>
      </c>
      <c r="J6" s="1111"/>
      <c r="K6" s="1111"/>
      <c r="L6" s="1110" t="s">
        <v>400</v>
      </c>
      <c r="M6" s="1111"/>
      <c r="N6" s="1111"/>
      <c r="O6" s="1111"/>
      <c r="P6" s="1111"/>
      <c r="Q6" s="1111"/>
      <c r="R6" s="1111"/>
      <c r="S6" s="1111"/>
      <c r="T6" s="1111"/>
      <c r="U6" s="1112"/>
      <c r="V6" s="1110" t="s">
        <v>401</v>
      </c>
      <c r="W6" s="1111"/>
      <c r="X6" s="1112"/>
      <c r="Y6" s="1110" t="s">
        <v>402</v>
      </c>
      <c r="Z6" s="1111"/>
      <c r="AA6" s="1112"/>
      <c r="AB6" s="1110" t="s">
        <v>403</v>
      </c>
      <c r="AC6" s="1111"/>
      <c r="AD6" s="1111"/>
      <c r="AE6" s="1111"/>
      <c r="AF6" s="1111"/>
      <c r="AG6" s="1111"/>
      <c r="AH6" s="1111"/>
      <c r="AI6" s="1112"/>
      <c r="AJ6" s="960" t="s">
        <v>404</v>
      </c>
    </row>
    <row r="7" spans="1:38" s="65" customFormat="1" ht="18" customHeight="1">
      <c r="A7" s="65">
        <v>54</v>
      </c>
      <c r="B7" s="1121">
        <f>WIDECHAR(MID(CONCATENATE('演算'!$Q$10,'演算'!$Q$242,'演算'!$Q$521,'演算'!$Q$800,'演算'!$Q$1079),'演算'!$L$10*A7+1,'演算'!$L$10))</f>
      </c>
      <c r="C7" s="1123"/>
      <c r="D7" s="961">
        <f>WIDECHAR(MID(CONCATENATE('演算'!$Q$18,'演算'!$Q$254,'演算'!$Q$533,'演算'!$Q$812,'演算'!$Q$1091),'演算'!$L$18*A7+1,'演算'!$L$18))</f>
      </c>
      <c r="E7" s="962"/>
      <c r="F7" s="962"/>
      <c r="G7" s="962"/>
      <c r="H7" s="999"/>
      <c r="I7" s="1121">
        <f>WIDECHAR(MID(CONCATENATE('演算'!$Q$25,'演算'!$Q$265,'演算'!$Q$544,'演算'!$Q$823,'演算'!$Q$1102),'演算'!$L$25*A7+1,'演算'!$L$25))</f>
      </c>
      <c r="J7" s="1122"/>
      <c r="K7" s="1122"/>
      <c r="L7" s="961">
        <f>WIDECHAR(MID(CONCATENATE('演算'!$M$229,'演算'!$M$496,'演算'!$M$775,'演算'!$M$1054,'演算'!$M$1333),'演算'!$L$32*A7+1,'演算'!$L$32))</f>
      </c>
      <c r="M7" s="998"/>
      <c r="N7" s="998"/>
      <c r="O7" s="962"/>
      <c r="P7" s="962"/>
      <c r="Q7" s="962"/>
      <c r="R7" s="962"/>
      <c r="S7" s="962"/>
      <c r="T7" s="962"/>
      <c r="U7" s="963"/>
      <c r="V7" s="961">
        <f>WIDECHAR(MID(CONCATENATE('演算'!$M$230,'演算'!$M$497,'演算'!$M$776,'演算'!$M$1055,'演算'!$M$1334),'演算'!$L$40*A7+1,'演算'!$L$40))</f>
      </c>
      <c r="W7" s="962"/>
      <c r="X7" s="963"/>
      <c r="Y7" s="1103">
        <f>WIDECHAR(MID(CONCATENATE('演算'!$M$231,'演算'!$M$498,'演算'!$M$777,'演算'!$M$1056,'演算'!$M$1335),'演算'!$L$49*A7+1,'演算'!$L$49))</f>
      </c>
      <c r="Z7" s="1104"/>
      <c r="AA7" s="1105"/>
      <c r="AB7" s="964">
        <f>MID(CONCATENATE('演算'!$M$232,'演算'!$M$499,'演算'!$M$778,'演算'!$M$1057,'演算'!$M$1336,REPT("　",130)),5*A7+1,5)</f>
      </c>
      <c r="AC7" s="965"/>
      <c r="AD7" s="1115">
        <f>ASC(AB7)</f>
      </c>
      <c r="AE7" s="1101"/>
      <c r="AF7" s="952" t="str">
        <f>IF(AB7=0,"　",IF(AB7="　　　　　"," ","～"))</f>
        <v>～</v>
      </c>
      <c r="AG7" s="966">
        <f>MID(CONCATENATE('演算'!$M$233,'演算'!$M$500,'演算'!$M$779,'演算'!$M$1058,'演算'!$M$1337),5*A7+1,5)</f>
      </c>
      <c r="AH7" s="1101">
        <f>ASC(AG7)</f>
      </c>
      <c r="AI7" s="1102"/>
      <c r="AJ7" s="953">
        <f>WIDECHAR(MID(CONCATENATE('演算'!$M$234,'演算'!$M$501,'演算'!$M$780,'演算'!$M$1059,'演算'!$M$1338),A7+1,1))</f>
      </c>
      <c r="AL7" s="184">
        <v>1</v>
      </c>
    </row>
    <row r="8" spans="1:38" s="65" customFormat="1" ht="18" customHeight="1">
      <c r="A8" s="65">
        <v>55</v>
      </c>
      <c r="B8" s="1121">
        <f>WIDECHAR(MID(CONCATENATE('演算'!$Q$10,'演算'!$Q$242,'演算'!$Q$521,'演算'!$Q$800,'演算'!$Q$1079),'演算'!$L$10*A8+1,'演算'!$L$10))</f>
      </c>
      <c r="C8" s="1123"/>
      <c r="D8" s="961">
        <f>WIDECHAR(MID(CONCATENATE('演算'!$Q$18,'演算'!$Q$254,'演算'!$Q$533,'演算'!$Q$812,'演算'!$Q$1091),'演算'!$L$18*A8+1,'演算'!$L$18))</f>
      </c>
      <c r="E8" s="967"/>
      <c r="F8" s="967"/>
      <c r="G8" s="967"/>
      <c r="H8" s="968"/>
      <c r="I8" s="1121">
        <f>WIDECHAR(MID(CONCATENATE('演算'!$Q$25,'演算'!$Q$265,'演算'!$Q$544,'演算'!$Q$823,'演算'!$Q$1102),'演算'!$L$25*A8+1,'演算'!$L$25))</f>
      </c>
      <c r="J8" s="1122"/>
      <c r="K8" s="1122"/>
      <c r="L8" s="961">
        <f>WIDECHAR(MID(CONCATENATE('演算'!$M$229,'演算'!$M$496,'演算'!$M$775,'演算'!$M$1054,'演算'!$M$1333),'演算'!$L$32*A8+1,'演算'!$L$32))</f>
      </c>
      <c r="M8" s="967"/>
      <c r="N8" s="967"/>
      <c r="O8" s="967"/>
      <c r="P8" s="967"/>
      <c r="Q8" s="967"/>
      <c r="R8" s="967"/>
      <c r="S8" s="967"/>
      <c r="T8" s="967"/>
      <c r="U8" s="968"/>
      <c r="V8" s="961">
        <f>WIDECHAR(MID(CONCATENATE('演算'!$M$230,'演算'!$M$497,'演算'!$M$776,'演算'!$M$1055,'演算'!$M$1334),'演算'!$L$40*A8+1,'演算'!$L$40))</f>
      </c>
      <c r="W8" s="967"/>
      <c r="X8" s="968"/>
      <c r="Y8" s="1103">
        <f>WIDECHAR(MID(CONCATENATE('演算'!$M$231,'演算'!$M$498,'演算'!$M$777,'演算'!$M$1056,'演算'!$M$1335),'演算'!$L$49*A8+1,'演算'!$L$49))</f>
      </c>
      <c r="Z8" s="1104"/>
      <c r="AA8" s="1105"/>
      <c r="AB8" s="964">
        <f>MID(CONCATENATE('演算'!$M$232,'演算'!$M$499,'演算'!$M$778,'演算'!$M$1057,'演算'!$M$1336,REPT("　",130)),5*A8+1,5)</f>
      </c>
      <c r="AC8" s="969"/>
      <c r="AD8" s="1103">
        <f>ASC(AB8)</f>
      </c>
      <c r="AE8" s="1104"/>
      <c r="AF8" s="952" t="str">
        <f>IF(AB8=0,"　",IF(AB8=REPT("　",5)," ","～"))</f>
        <v>～</v>
      </c>
      <c r="AG8" s="966">
        <f>MID(CONCATENATE('演算'!$M$233,'演算'!$M$500,'演算'!$M$779,'演算'!$M$1058,'演算'!$M$1337),5*A8+1,5)</f>
      </c>
      <c r="AH8" s="1104">
        <f>ASC(AG8)</f>
      </c>
      <c r="AI8" s="1105"/>
      <c r="AJ8" s="953">
        <f>WIDECHAR(MID(CONCATENATE('演算'!$M$234,'演算'!$M$501,'演算'!$M$780,'演算'!$M$1059,'演算'!$M$1338),A8+1,1))</f>
      </c>
      <c r="AL8" s="184">
        <v>2</v>
      </c>
    </row>
    <row r="9" spans="1:38" s="65" customFormat="1" ht="18" customHeight="1">
      <c r="A9" s="65">
        <v>56</v>
      </c>
      <c r="B9" s="1121">
        <f>WIDECHAR(MID(CONCATENATE('演算'!$Q$10,'演算'!$Q$242,'演算'!$Q$521,'演算'!$Q$800,'演算'!$Q$1079),'演算'!$L$10*A9+1,'演算'!$L$10))</f>
      </c>
      <c r="C9" s="1123"/>
      <c r="D9" s="961">
        <f>WIDECHAR(MID(CONCATENATE('演算'!$Q$18,'演算'!$Q$254,'演算'!$Q$533,'演算'!$Q$812,'演算'!$Q$1091),'演算'!$L$18*A9+1,'演算'!$L$18))</f>
      </c>
      <c r="E9" s="967"/>
      <c r="F9" s="967"/>
      <c r="G9" s="967"/>
      <c r="H9" s="968"/>
      <c r="I9" s="1121">
        <f>WIDECHAR(MID(CONCATENATE('演算'!$Q$25,'演算'!$Q$265,'演算'!$Q$544,'演算'!$Q$823,'演算'!$Q$1102),'演算'!$L$25*A9+1,'演算'!$L$25))</f>
      </c>
      <c r="J9" s="1122"/>
      <c r="K9" s="1122"/>
      <c r="L9" s="961">
        <f>WIDECHAR(MID(CONCATENATE('演算'!$M$229,'演算'!$M$496,'演算'!$M$775,'演算'!$M$1054,'演算'!$M$1333),'演算'!$L$32*A9+1,'演算'!$L$32))</f>
      </c>
      <c r="M9" s="967"/>
      <c r="N9" s="967"/>
      <c r="O9" s="967"/>
      <c r="P9" s="967"/>
      <c r="Q9" s="967"/>
      <c r="R9" s="967"/>
      <c r="S9" s="967"/>
      <c r="T9" s="967"/>
      <c r="U9" s="968"/>
      <c r="V9" s="961">
        <f>WIDECHAR(MID(CONCATENATE('演算'!$M$230,'演算'!$M$497,'演算'!$M$776,'演算'!$M$1055,'演算'!$M$1334),'演算'!$L$40*A9+1,'演算'!$L$40))</f>
      </c>
      <c r="W9" s="967"/>
      <c r="X9" s="968"/>
      <c r="Y9" s="1103">
        <f>WIDECHAR(MID(CONCATENATE('演算'!$M$231,'演算'!$M$498,'演算'!$M$777,'演算'!$M$1056,'演算'!$M$1335),'演算'!$L$49*A9+1,'演算'!$L$49))</f>
      </c>
      <c r="Z9" s="1104"/>
      <c r="AA9" s="1105"/>
      <c r="AB9" s="964">
        <f>MID(CONCATENATE('演算'!$M$232,'演算'!$M$499,'演算'!$M$778,'演算'!$M$1057,'演算'!$M$1336,REPT("　",130)),5*A9+1,5)</f>
      </c>
      <c r="AC9" s="969"/>
      <c r="AD9" s="1103">
        <f aca="true" t="shared" si="0" ref="AD9:AD32">ASC(AB9)</f>
      </c>
      <c r="AE9" s="1104"/>
      <c r="AF9" s="952" t="str">
        <f aca="true" t="shared" si="1" ref="AF9:AF32">IF(AB9=0,"　",IF(AB9=REPT("　",5)," ","～"))</f>
        <v>～</v>
      </c>
      <c r="AG9" s="966">
        <f>MID(CONCATENATE('演算'!$M$233,'演算'!$M$500,'演算'!$M$779,'演算'!$M$1058,'演算'!$M$1337),5*A9+1,5)</f>
      </c>
      <c r="AH9" s="1104">
        <f aca="true" t="shared" si="2" ref="AH9:AH32">ASC(AG9)</f>
      </c>
      <c r="AI9" s="1105"/>
      <c r="AJ9" s="953">
        <f>WIDECHAR(MID(CONCATENATE('演算'!$M$234,'演算'!$M$501,'演算'!$M$780,'演算'!$M$1059,'演算'!$M$1338),A9+1,1))</f>
      </c>
      <c r="AL9" s="184">
        <v>3</v>
      </c>
    </row>
    <row r="10" spans="1:38" s="65" customFormat="1" ht="18" customHeight="1">
      <c r="A10" s="65">
        <v>57</v>
      </c>
      <c r="B10" s="1121">
        <f>WIDECHAR(MID(CONCATENATE('演算'!$Q$10,'演算'!$Q$242,'演算'!$Q$521,'演算'!$Q$800,'演算'!$Q$1079),'演算'!$L$10*A10+1,'演算'!$L$10))</f>
      </c>
      <c r="C10" s="1123"/>
      <c r="D10" s="961">
        <f>WIDECHAR(MID(CONCATENATE('演算'!$Q$18,'演算'!$Q$254,'演算'!$Q$533,'演算'!$Q$812,'演算'!$Q$1091),'演算'!$L$18*A10+1,'演算'!$L$18))</f>
      </c>
      <c r="E10" s="967"/>
      <c r="F10" s="967"/>
      <c r="G10" s="967"/>
      <c r="H10" s="968"/>
      <c r="I10" s="1121">
        <f>WIDECHAR(MID(CONCATENATE('演算'!$Q$25,'演算'!$Q$265,'演算'!$Q$544,'演算'!$Q$823,'演算'!$Q$1102),'演算'!$L$25*A10+1,'演算'!$L$25))</f>
      </c>
      <c r="J10" s="1122"/>
      <c r="K10" s="1122"/>
      <c r="L10" s="961">
        <f>WIDECHAR(MID(CONCATENATE('演算'!$M$229,'演算'!$M$496,'演算'!$M$775,'演算'!$M$1054,'演算'!$M$1333),'演算'!$L$32*A10+1,'演算'!$L$32))</f>
      </c>
      <c r="M10" s="967"/>
      <c r="N10" s="967"/>
      <c r="O10" s="967"/>
      <c r="P10" s="967"/>
      <c r="Q10" s="967"/>
      <c r="R10" s="967"/>
      <c r="S10" s="967"/>
      <c r="T10" s="967"/>
      <c r="U10" s="968"/>
      <c r="V10" s="961">
        <f>WIDECHAR(MID(CONCATENATE('演算'!$M$230,'演算'!$M$497,'演算'!$M$776,'演算'!$M$1055,'演算'!$M$1334),'演算'!$L$40*A10+1,'演算'!$L$40))</f>
      </c>
      <c r="W10" s="967"/>
      <c r="X10" s="968"/>
      <c r="Y10" s="1103">
        <f>WIDECHAR(MID(CONCATENATE('演算'!$M$231,'演算'!$M$498,'演算'!$M$777,'演算'!$M$1056,'演算'!$M$1335),'演算'!$L$49*A10+1,'演算'!$L$49))</f>
      </c>
      <c r="Z10" s="1104"/>
      <c r="AA10" s="1105"/>
      <c r="AB10" s="964">
        <f>MID(CONCATENATE('演算'!$M$232,'演算'!$M$499,'演算'!$M$778,'演算'!$M$1057,'演算'!$M$1336,REPT("　",130)),5*A10+1,5)</f>
      </c>
      <c r="AC10" s="969"/>
      <c r="AD10" s="1103">
        <f t="shared" si="0"/>
      </c>
      <c r="AE10" s="1104"/>
      <c r="AF10" s="952" t="str">
        <f t="shared" si="1"/>
        <v>～</v>
      </c>
      <c r="AG10" s="966">
        <f>MID(CONCATENATE('演算'!$M$233,'演算'!$M$500,'演算'!$M$779,'演算'!$M$1058,'演算'!$M$1337),5*A10+1,5)</f>
      </c>
      <c r="AH10" s="1104">
        <f t="shared" si="2"/>
      </c>
      <c r="AI10" s="1105"/>
      <c r="AJ10" s="953">
        <f>WIDECHAR(MID(CONCATENATE('演算'!$M$234,'演算'!$M$501,'演算'!$M$780,'演算'!$M$1059,'演算'!$M$1338),A10+1,1))</f>
      </c>
      <c r="AL10" s="184">
        <v>4</v>
      </c>
    </row>
    <row r="11" spans="1:38" s="65" customFormat="1" ht="18" customHeight="1">
      <c r="A11" s="65">
        <v>58</v>
      </c>
      <c r="B11" s="1121">
        <f>WIDECHAR(MID(CONCATENATE('演算'!$Q$10,'演算'!$Q$242,'演算'!$Q$521,'演算'!$Q$800,'演算'!$Q$1079),'演算'!$L$10*A11+1,'演算'!$L$10))</f>
      </c>
      <c r="C11" s="1123"/>
      <c r="D11" s="961">
        <f>WIDECHAR(MID(CONCATENATE('演算'!$Q$18,'演算'!$Q$254,'演算'!$Q$533,'演算'!$Q$812,'演算'!$Q$1091),'演算'!$L$18*A11+1,'演算'!$L$18))</f>
      </c>
      <c r="E11" s="967"/>
      <c r="F11" s="967"/>
      <c r="G11" s="967"/>
      <c r="H11" s="968"/>
      <c r="I11" s="1121">
        <f>WIDECHAR(MID(CONCATENATE('演算'!$Q$25,'演算'!$Q$265,'演算'!$Q$544,'演算'!$Q$823,'演算'!$Q$1102),'演算'!$L$25*A11+1,'演算'!$L$25))</f>
      </c>
      <c r="J11" s="1122"/>
      <c r="K11" s="1122"/>
      <c r="L11" s="961">
        <f>WIDECHAR(MID(CONCATENATE('演算'!$M$229,'演算'!$M$496,'演算'!$M$775,'演算'!$M$1054,'演算'!$M$1333),'演算'!$L$32*A11+1,'演算'!$L$32))</f>
      </c>
      <c r="M11" s="967"/>
      <c r="N11" s="967"/>
      <c r="O11" s="967"/>
      <c r="P11" s="967"/>
      <c r="Q11" s="967"/>
      <c r="R11" s="967"/>
      <c r="S11" s="967"/>
      <c r="T11" s="967"/>
      <c r="U11" s="968"/>
      <c r="V11" s="961">
        <f>WIDECHAR(MID(CONCATENATE('演算'!$M$230,'演算'!$M$497,'演算'!$M$776,'演算'!$M$1055,'演算'!$M$1334),'演算'!$L$40*A11+1,'演算'!$L$40))</f>
      </c>
      <c r="W11" s="967"/>
      <c r="X11" s="968"/>
      <c r="Y11" s="1103">
        <f>WIDECHAR(MID(CONCATENATE('演算'!$M$231,'演算'!$M$498,'演算'!$M$777,'演算'!$M$1056,'演算'!$M$1335),'演算'!$L$49*A11+1,'演算'!$L$49))</f>
      </c>
      <c r="Z11" s="1104"/>
      <c r="AA11" s="1105"/>
      <c r="AB11" s="964">
        <f>MID(CONCATENATE('演算'!$M$232,'演算'!$M$499,'演算'!$M$778,'演算'!$M$1057,'演算'!$M$1336,REPT("　",130)),5*A11+1,5)</f>
      </c>
      <c r="AC11" s="969"/>
      <c r="AD11" s="1103">
        <f t="shared" si="0"/>
      </c>
      <c r="AE11" s="1104"/>
      <c r="AF11" s="952" t="str">
        <f t="shared" si="1"/>
        <v>～</v>
      </c>
      <c r="AG11" s="966">
        <f>MID(CONCATENATE('演算'!$M$233,'演算'!$M$500,'演算'!$M$779,'演算'!$M$1058,'演算'!$M$1337),5*A11+1,5)</f>
      </c>
      <c r="AH11" s="1104">
        <f t="shared" si="2"/>
      </c>
      <c r="AI11" s="1105"/>
      <c r="AJ11" s="953">
        <f>WIDECHAR(MID(CONCATENATE('演算'!$M$234,'演算'!$M$501,'演算'!$M$780,'演算'!$M$1059,'演算'!$M$1338),A11+1,1))</f>
      </c>
      <c r="AL11" s="184">
        <v>5</v>
      </c>
    </row>
    <row r="12" spans="1:38" s="65" customFormat="1" ht="18" customHeight="1">
      <c r="A12" s="65">
        <v>59</v>
      </c>
      <c r="B12" s="1121">
        <f>WIDECHAR(MID(CONCATENATE('演算'!$Q$10,'演算'!$Q$242,'演算'!$Q$521,'演算'!$Q$800,'演算'!$Q$1079),'演算'!$L$10*A12+1,'演算'!$L$10))</f>
      </c>
      <c r="C12" s="1123"/>
      <c r="D12" s="961">
        <f>WIDECHAR(MID(CONCATENATE('演算'!$Q$18,'演算'!$Q$254,'演算'!$Q$533,'演算'!$Q$812,'演算'!$Q$1091),'演算'!$L$18*A12+1,'演算'!$L$18))</f>
      </c>
      <c r="E12" s="967"/>
      <c r="F12" s="967"/>
      <c r="G12" s="967"/>
      <c r="H12" s="968"/>
      <c r="I12" s="1121">
        <f>WIDECHAR(MID(CONCATENATE('演算'!$Q$25,'演算'!$Q$265,'演算'!$Q$544,'演算'!$Q$823,'演算'!$Q$1102),'演算'!$L$25*A12+1,'演算'!$L$25))</f>
      </c>
      <c r="J12" s="1122"/>
      <c r="K12" s="1122"/>
      <c r="L12" s="961">
        <f>WIDECHAR(MID(CONCATENATE('演算'!$M$229,'演算'!$M$496,'演算'!$M$775,'演算'!$M$1054,'演算'!$M$1333),'演算'!$L$32*A12+1,'演算'!$L$32))</f>
      </c>
      <c r="M12" s="967"/>
      <c r="N12" s="967"/>
      <c r="O12" s="967"/>
      <c r="P12" s="967"/>
      <c r="Q12" s="967"/>
      <c r="R12" s="967"/>
      <c r="S12" s="967"/>
      <c r="T12" s="967"/>
      <c r="U12" s="968"/>
      <c r="V12" s="961">
        <f>WIDECHAR(MID(CONCATENATE('演算'!$M$230,'演算'!$M$497,'演算'!$M$776,'演算'!$M$1055,'演算'!$M$1334),'演算'!$L$40*A12+1,'演算'!$L$40))</f>
      </c>
      <c r="W12" s="967"/>
      <c r="X12" s="968"/>
      <c r="Y12" s="1103">
        <f>WIDECHAR(MID(CONCATENATE('演算'!$M$231,'演算'!$M$498,'演算'!$M$777,'演算'!$M$1056,'演算'!$M$1335),'演算'!$L$49*A12+1,'演算'!$L$49))</f>
      </c>
      <c r="Z12" s="1104"/>
      <c r="AA12" s="1105"/>
      <c r="AB12" s="964">
        <f>MID(CONCATENATE('演算'!$M$232,'演算'!$M$499,'演算'!$M$778,'演算'!$M$1057,'演算'!$M$1336,REPT("　",130)),5*A12+1,5)</f>
      </c>
      <c r="AC12" s="969"/>
      <c r="AD12" s="1103">
        <f t="shared" si="0"/>
      </c>
      <c r="AE12" s="1104"/>
      <c r="AF12" s="952" t="str">
        <f t="shared" si="1"/>
        <v>～</v>
      </c>
      <c r="AG12" s="966">
        <f>MID(CONCATENATE('演算'!$M$233,'演算'!$M$500,'演算'!$M$779,'演算'!$M$1058,'演算'!$M$1337),5*A12+1,5)</f>
      </c>
      <c r="AH12" s="1104">
        <f t="shared" si="2"/>
      </c>
      <c r="AI12" s="1105"/>
      <c r="AJ12" s="953">
        <f>WIDECHAR(MID(CONCATENATE('演算'!$M$234,'演算'!$M$501,'演算'!$M$780,'演算'!$M$1059,'演算'!$M$1338),A12+1,1))</f>
      </c>
      <c r="AL12" s="184">
        <v>6</v>
      </c>
    </row>
    <row r="13" spans="1:38" s="65" customFormat="1" ht="18" customHeight="1">
      <c r="A13" s="65">
        <v>60</v>
      </c>
      <c r="B13" s="1121">
        <f>WIDECHAR(MID(CONCATENATE('演算'!$Q$10,'演算'!$Q$242,'演算'!$Q$521,'演算'!$Q$800,'演算'!$Q$1079),'演算'!$L$10*A13+1,'演算'!$L$10))</f>
      </c>
      <c r="C13" s="1123"/>
      <c r="D13" s="961">
        <f>WIDECHAR(MID(CONCATENATE('演算'!$Q$18,'演算'!$Q$254,'演算'!$Q$533,'演算'!$Q$812,'演算'!$Q$1091),'演算'!$L$18*A13+1,'演算'!$L$18))</f>
      </c>
      <c r="E13" s="967"/>
      <c r="F13" s="967"/>
      <c r="G13" s="967"/>
      <c r="H13" s="968"/>
      <c r="I13" s="1121">
        <f>WIDECHAR(MID(CONCATENATE('演算'!$Q$25,'演算'!$Q$265,'演算'!$Q$544,'演算'!$Q$823,'演算'!$Q$1102),'演算'!$L$25*A13+1,'演算'!$L$25))</f>
      </c>
      <c r="J13" s="1122"/>
      <c r="K13" s="1122"/>
      <c r="L13" s="961">
        <f>WIDECHAR(MID(CONCATENATE('演算'!$M$229,'演算'!$M$496,'演算'!$M$775,'演算'!$M$1054,'演算'!$M$1333),'演算'!$L$32*A13+1,'演算'!$L$32))</f>
      </c>
      <c r="M13" s="967"/>
      <c r="N13" s="967"/>
      <c r="O13" s="967"/>
      <c r="P13" s="967"/>
      <c r="Q13" s="967"/>
      <c r="R13" s="967"/>
      <c r="S13" s="967"/>
      <c r="T13" s="967"/>
      <c r="U13" s="968"/>
      <c r="V13" s="961">
        <f>WIDECHAR(MID(CONCATENATE('演算'!$M$230,'演算'!$M$497,'演算'!$M$776,'演算'!$M$1055,'演算'!$M$1334),'演算'!$L$40*A13+1,'演算'!$L$40))</f>
      </c>
      <c r="W13" s="967"/>
      <c r="X13" s="968"/>
      <c r="Y13" s="1103">
        <f>WIDECHAR(MID(CONCATENATE('演算'!$M$231,'演算'!$M$498,'演算'!$M$777,'演算'!$M$1056,'演算'!$M$1335),'演算'!$L$49*A13+1,'演算'!$L$49))</f>
      </c>
      <c r="Z13" s="1104"/>
      <c r="AA13" s="1105"/>
      <c r="AB13" s="964">
        <f>MID(CONCATENATE('演算'!$M$232,'演算'!$M$499,'演算'!$M$778,'演算'!$M$1057,'演算'!$M$1336,REPT("　",130)),5*A13+1,5)</f>
      </c>
      <c r="AC13" s="969"/>
      <c r="AD13" s="1103">
        <f t="shared" si="0"/>
      </c>
      <c r="AE13" s="1104"/>
      <c r="AF13" s="952" t="str">
        <f t="shared" si="1"/>
        <v>～</v>
      </c>
      <c r="AG13" s="966">
        <f>MID(CONCATENATE('演算'!$M$233,'演算'!$M$500,'演算'!$M$779,'演算'!$M$1058,'演算'!$M$1337),5*A13+1,5)</f>
      </c>
      <c r="AH13" s="1104">
        <f t="shared" si="2"/>
      </c>
      <c r="AI13" s="1105"/>
      <c r="AJ13" s="953">
        <f>WIDECHAR(MID(CONCATENATE('演算'!$M$234,'演算'!$M$501,'演算'!$M$780,'演算'!$M$1059,'演算'!$M$1338),A13+1,1))</f>
      </c>
      <c r="AL13" s="184">
        <v>7</v>
      </c>
    </row>
    <row r="14" spans="1:38" s="65" customFormat="1" ht="18" customHeight="1">
      <c r="A14" s="65">
        <v>61</v>
      </c>
      <c r="B14" s="1121">
        <f>WIDECHAR(MID(CONCATENATE('演算'!$Q$10,'演算'!$Q$242,'演算'!$Q$521,'演算'!$Q$800,'演算'!$Q$1079),'演算'!$L$10*A14+1,'演算'!$L$10))</f>
      </c>
      <c r="C14" s="1123"/>
      <c r="D14" s="961">
        <f>WIDECHAR(MID(CONCATENATE('演算'!$Q$18,'演算'!$Q$254,'演算'!$Q$533,'演算'!$Q$812,'演算'!$Q$1091),'演算'!$L$18*A14+1,'演算'!$L$18))</f>
      </c>
      <c r="E14" s="967"/>
      <c r="F14" s="967"/>
      <c r="G14" s="967"/>
      <c r="H14" s="968"/>
      <c r="I14" s="1121">
        <f>WIDECHAR(MID(CONCATENATE('演算'!$Q$25,'演算'!$Q$265,'演算'!$Q$544,'演算'!$Q$823,'演算'!$Q$1102),'演算'!$L$25*A14+1,'演算'!$L$25))</f>
      </c>
      <c r="J14" s="1122"/>
      <c r="K14" s="1122"/>
      <c r="L14" s="961">
        <f>WIDECHAR(MID(CONCATENATE('演算'!$M$229,'演算'!$M$496,'演算'!$M$775,'演算'!$M$1054,'演算'!$M$1333),'演算'!$L$32*A14+1,'演算'!$L$32))</f>
      </c>
      <c r="M14" s="967"/>
      <c r="N14" s="967"/>
      <c r="O14" s="967"/>
      <c r="P14" s="967"/>
      <c r="Q14" s="967"/>
      <c r="R14" s="967"/>
      <c r="S14" s="967"/>
      <c r="T14" s="967"/>
      <c r="U14" s="968"/>
      <c r="V14" s="961">
        <f>WIDECHAR(MID(CONCATENATE('演算'!$M$230,'演算'!$M$497,'演算'!$M$776,'演算'!$M$1055,'演算'!$M$1334),'演算'!$L$40*A14+1,'演算'!$L$40))</f>
      </c>
      <c r="W14" s="967"/>
      <c r="X14" s="968"/>
      <c r="Y14" s="1103">
        <f>WIDECHAR(MID(CONCATENATE('演算'!$M$231,'演算'!$M$498,'演算'!$M$777,'演算'!$M$1056,'演算'!$M$1335),'演算'!$L$49*A14+1,'演算'!$L$49))</f>
      </c>
      <c r="Z14" s="1104"/>
      <c r="AA14" s="1105"/>
      <c r="AB14" s="964">
        <f>MID(CONCATENATE('演算'!$M$232,'演算'!$M$499,'演算'!$M$778,'演算'!$M$1057,'演算'!$M$1336,REPT("　",130)),5*A14+1,5)</f>
      </c>
      <c r="AC14" s="969"/>
      <c r="AD14" s="1103">
        <f t="shared" si="0"/>
      </c>
      <c r="AE14" s="1104"/>
      <c r="AF14" s="952" t="str">
        <f t="shared" si="1"/>
        <v>～</v>
      </c>
      <c r="AG14" s="966">
        <f>MID(CONCATENATE('演算'!$M$233,'演算'!$M$500,'演算'!$M$779,'演算'!$M$1058,'演算'!$M$1337),5*A14+1,5)</f>
      </c>
      <c r="AH14" s="1104">
        <f t="shared" si="2"/>
      </c>
      <c r="AI14" s="1105"/>
      <c r="AJ14" s="953">
        <f>WIDECHAR(MID(CONCATENATE('演算'!$M$234,'演算'!$M$501,'演算'!$M$780,'演算'!$M$1059,'演算'!$M$1338),A14+1,1))</f>
      </c>
      <c r="AL14" s="184">
        <v>8</v>
      </c>
    </row>
    <row r="15" spans="1:38" s="65" customFormat="1" ht="18" customHeight="1">
      <c r="A15" s="65">
        <v>62</v>
      </c>
      <c r="B15" s="1121">
        <f>WIDECHAR(MID(CONCATENATE('演算'!$Q$10,'演算'!$Q$242,'演算'!$Q$521,'演算'!$Q$800,'演算'!$Q$1079),'演算'!$L$10*A15+1,'演算'!$L$10))</f>
      </c>
      <c r="C15" s="1123"/>
      <c r="D15" s="961">
        <f>WIDECHAR(MID(CONCATENATE('演算'!$Q$18,'演算'!$Q$254,'演算'!$Q$533,'演算'!$Q$812,'演算'!$Q$1091),'演算'!$L$18*A15+1,'演算'!$L$18))</f>
      </c>
      <c r="E15" s="967"/>
      <c r="F15" s="967"/>
      <c r="G15" s="967"/>
      <c r="H15" s="968"/>
      <c r="I15" s="1121">
        <f>WIDECHAR(MID(CONCATENATE('演算'!$Q$25,'演算'!$Q$265,'演算'!$Q$544,'演算'!$Q$823,'演算'!$Q$1102),'演算'!$L$25*A15+1,'演算'!$L$25))</f>
      </c>
      <c r="J15" s="1122"/>
      <c r="K15" s="1122"/>
      <c r="L15" s="961">
        <f>WIDECHAR(MID(CONCATENATE('演算'!$M$229,'演算'!$M$496,'演算'!$M$775,'演算'!$M$1054,'演算'!$M$1333),'演算'!$L$32*A15+1,'演算'!$L$32))</f>
      </c>
      <c r="M15" s="967"/>
      <c r="N15" s="967"/>
      <c r="O15" s="967"/>
      <c r="P15" s="967"/>
      <c r="Q15" s="967"/>
      <c r="R15" s="967"/>
      <c r="S15" s="967"/>
      <c r="T15" s="967"/>
      <c r="U15" s="968"/>
      <c r="V15" s="961">
        <f>WIDECHAR(MID(CONCATENATE('演算'!$M$230,'演算'!$M$497,'演算'!$M$776,'演算'!$M$1055,'演算'!$M$1334),'演算'!$L$40*A15+1,'演算'!$L$40))</f>
      </c>
      <c r="W15" s="967"/>
      <c r="X15" s="968"/>
      <c r="Y15" s="1103">
        <f>WIDECHAR(MID(CONCATENATE('演算'!$M$231,'演算'!$M$498,'演算'!$M$777,'演算'!$M$1056,'演算'!$M$1335),'演算'!$L$49*A15+1,'演算'!$L$49))</f>
      </c>
      <c r="Z15" s="1104"/>
      <c r="AA15" s="1105"/>
      <c r="AB15" s="964">
        <f>MID(CONCATENATE('演算'!$M$232,'演算'!$M$499,'演算'!$M$778,'演算'!$M$1057,'演算'!$M$1336,REPT("　",130)),5*A15+1,5)</f>
      </c>
      <c r="AC15" s="969"/>
      <c r="AD15" s="1103">
        <f t="shared" si="0"/>
      </c>
      <c r="AE15" s="1104"/>
      <c r="AF15" s="952" t="str">
        <f t="shared" si="1"/>
        <v>～</v>
      </c>
      <c r="AG15" s="966">
        <f>MID(CONCATENATE('演算'!$M$233,'演算'!$M$500,'演算'!$M$779,'演算'!$M$1058,'演算'!$M$1337),5*A15+1,5)</f>
      </c>
      <c r="AH15" s="1104">
        <f t="shared" si="2"/>
      </c>
      <c r="AI15" s="1105"/>
      <c r="AJ15" s="953">
        <f>WIDECHAR(MID(CONCATENATE('演算'!$M$234,'演算'!$M$501,'演算'!$M$780,'演算'!$M$1059,'演算'!$M$1338),A15+1,1))</f>
      </c>
      <c r="AL15" s="184">
        <v>9</v>
      </c>
    </row>
    <row r="16" spans="1:38" s="65" customFormat="1" ht="18" customHeight="1">
      <c r="A16" s="65">
        <v>63</v>
      </c>
      <c r="B16" s="1121">
        <f>WIDECHAR(MID(CONCATENATE('演算'!$Q$10,'演算'!$Q$242,'演算'!$Q$521,'演算'!$Q$800,'演算'!$Q$1079),'演算'!$L$10*A16+1,'演算'!$L$10))</f>
      </c>
      <c r="C16" s="1123"/>
      <c r="D16" s="961">
        <f>WIDECHAR(MID(CONCATENATE('演算'!$Q$18,'演算'!$Q$254,'演算'!$Q$533,'演算'!$Q$812,'演算'!$Q$1091),'演算'!$L$18*A16+1,'演算'!$L$18))</f>
      </c>
      <c r="E16" s="967"/>
      <c r="F16" s="967"/>
      <c r="G16" s="967"/>
      <c r="H16" s="968"/>
      <c r="I16" s="1121">
        <f>WIDECHAR(MID(CONCATENATE('演算'!$Q$25,'演算'!$Q$265,'演算'!$Q$544,'演算'!$Q$823,'演算'!$Q$1102),'演算'!$L$25*A16+1,'演算'!$L$25))</f>
      </c>
      <c r="J16" s="1122"/>
      <c r="K16" s="1122"/>
      <c r="L16" s="961">
        <f>WIDECHAR(MID(CONCATENATE('演算'!$M$229,'演算'!$M$496,'演算'!$M$775,'演算'!$M$1054,'演算'!$M$1333),'演算'!$L$32*A16+1,'演算'!$L$32))</f>
      </c>
      <c r="M16" s="967"/>
      <c r="N16" s="967"/>
      <c r="O16" s="967"/>
      <c r="P16" s="967"/>
      <c r="Q16" s="952"/>
      <c r="R16" s="967"/>
      <c r="S16" s="967"/>
      <c r="T16" s="967"/>
      <c r="U16" s="968"/>
      <c r="V16" s="961">
        <f>WIDECHAR(MID(CONCATENATE('演算'!$M$230,'演算'!$M$497,'演算'!$M$776,'演算'!$M$1055,'演算'!$M$1334),'演算'!$L$40*A16+1,'演算'!$L$40))</f>
      </c>
      <c r="W16" s="967"/>
      <c r="X16" s="968"/>
      <c r="Y16" s="1103">
        <f>WIDECHAR(MID(CONCATENATE('演算'!$M$231,'演算'!$M$498,'演算'!$M$777,'演算'!$M$1056,'演算'!$M$1335),'演算'!$L$49*A16+1,'演算'!$L$49))</f>
      </c>
      <c r="Z16" s="1104"/>
      <c r="AA16" s="1105"/>
      <c r="AB16" s="964">
        <f>MID(CONCATENATE('演算'!$M$232,'演算'!$M$499,'演算'!$M$778,'演算'!$M$1057,'演算'!$M$1336,REPT("　",130)),5*A16+1,5)</f>
      </c>
      <c r="AC16" s="969"/>
      <c r="AD16" s="1103">
        <f t="shared" si="0"/>
      </c>
      <c r="AE16" s="1104"/>
      <c r="AF16" s="952" t="str">
        <f t="shared" si="1"/>
        <v>～</v>
      </c>
      <c r="AG16" s="966">
        <f>MID(CONCATENATE('演算'!$M$233,'演算'!$M$500,'演算'!$M$779,'演算'!$M$1058,'演算'!$M$1337),5*A16+1,5)</f>
      </c>
      <c r="AH16" s="1104">
        <f t="shared" si="2"/>
      </c>
      <c r="AI16" s="1105"/>
      <c r="AJ16" s="953">
        <f>WIDECHAR(MID(CONCATENATE('演算'!$M$234,'演算'!$M$501,'演算'!$M$780,'演算'!$M$1059,'演算'!$M$1338),A16+1,1))</f>
      </c>
      <c r="AL16" s="184">
        <v>10</v>
      </c>
    </row>
    <row r="17" spans="1:38" s="65" customFormat="1" ht="18" customHeight="1">
      <c r="A17" s="65">
        <v>64</v>
      </c>
      <c r="B17" s="1121">
        <f>WIDECHAR(MID(CONCATENATE('演算'!$Q$10,'演算'!$Q$242,'演算'!$Q$521,'演算'!$Q$800,'演算'!$Q$1079),'演算'!$L$10*A17+1,'演算'!$L$10))</f>
      </c>
      <c r="C17" s="1123"/>
      <c r="D17" s="961">
        <f>WIDECHAR(MID(CONCATENATE('演算'!$Q$18,'演算'!$Q$254,'演算'!$Q$533,'演算'!$Q$812,'演算'!$Q$1091),'演算'!$L$18*A17+1,'演算'!$L$18))</f>
      </c>
      <c r="E17" s="967"/>
      <c r="F17" s="967"/>
      <c r="G17" s="967"/>
      <c r="H17" s="968"/>
      <c r="I17" s="1121">
        <f>WIDECHAR(MID(CONCATENATE('演算'!$Q$25,'演算'!$Q$265,'演算'!$Q$544,'演算'!$Q$823,'演算'!$Q$1102),'演算'!$L$25*A17+1,'演算'!$L$25))</f>
      </c>
      <c r="J17" s="1122"/>
      <c r="K17" s="1122"/>
      <c r="L17" s="961">
        <f>WIDECHAR(MID(CONCATENATE('演算'!$M$229,'演算'!$M$496,'演算'!$M$775,'演算'!$M$1054,'演算'!$M$1333),'演算'!$L$32*A17+1,'演算'!$L$32))</f>
      </c>
      <c r="M17" s="967"/>
      <c r="N17" s="967"/>
      <c r="O17" s="967"/>
      <c r="P17" s="967"/>
      <c r="Q17" s="967"/>
      <c r="R17" s="967"/>
      <c r="S17" s="967"/>
      <c r="T17" s="967"/>
      <c r="U17" s="968"/>
      <c r="V17" s="961">
        <f>WIDECHAR(MID(CONCATENATE('演算'!$M$230,'演算'!$M$497,'演算'!$M$776,'演算'!$M$1055,'演算'!$M$1334),'演算'!$L$40*A17+1,'演算'!$L$40))</f>
      </c>
      <c r="W17" s="967"/>
      <c r="X17" s="968"/>
      <c r="Y17" s="1103">
        <f>WIDECHAR(MID(CONCATENATE('演算'!$M$231,'演算'!$M$498,'演算'!$M$777,'演算'!$M$1056,'演算'!$M$1335),'演算'!$L$49*A17+1,'演算'!$L$49))</f>
      </c>
      <c r="Z17" s="1104"/>
      <c r="AA17" s="1105"/>
      <c r="AB17" s="964">
        <f>MID(CONCATENATE('演算'!$M$232,'演算'!$M$499,'演算'!$M$778,'演算'!$M$1057,'演算'!$M$1336,REPT("　",130)),5*A17+1,5)</f>
      </c>
      <c r="AC17" s="969"/>
      <c r="AD17" s="1103">
        <f t="shared" si="0"/>
      </c>
      <c r="AE17" s="1104"/>
      <c r="AF17" s="952" t="str">
        <f t="shared" si="1"/>
        <v>～</v>
      </c>
      <c r="AG17" s="966">
        <f>MID(CONCATENATE('演算'!$M$233,'演算'!$M$500,'演算'!$M$779,'演算'!$M$1058,'演算'!$M$1337),5*A17+1,5)</f>
      </c>
      <c r="AH17" s="1104">
        <f t="shared" si="2"/>
      </c>
      <c r="AI17" s="1105"/>
      <c r="AJ17" s="953">
        <f>WIDECHAR(MID(CONCATENATE('演算'!$M$234,'演算'!$M$501,'演算'!$M$780,'演算'!$M$1059,'演算'!$M$1338),A17+1,1))</f>
      </c>
      <c r="AL17" s="184">
        <v>11</v>
      </c>
    </row>
    <row r="18" spans="1:38" s="65" customFormat="1" ht="18" customHeight="1">
      <c r="A18" s="65">
        <v>65</v>
      </c>
      <c r="B18" s="1121">
        <f>WIDECHAR(MID(CONCATENATE('演算'!$Q$10,'演算'!$Q$242,'演算'!$Q$521,'演算'!$Q$800,'演算'!$Q$1079),'演算'!$L$10*A18+1,'演算'!$L$10))</f>
      </c>
      <c r="C18" s="1123"/>
      <c r="D18" s="961">
        <f>WIDECHAR(MID(CONCATENATE('演算'!$Q$18,'演算'!$Q$254,'演算'!$Q$533,'演算'!$Q$812,'演算'!$Q$1091),'演算'!$L$18*A18+1,'演算'!$L$18))</f>
      </c>
      <c r="E18" s="967"/>
      <c r="F18" s="967"/>
      <c r="G18" s="967"/>
      <c r="H18" s="968"/>
      <c r="I18" s="1121">
        <f>WIDECHAR(MID(CONCATENATE('演算'!$Q$25,'演算'!$Q$265,'演算'!$Q$544,'演算'!$Q$823,'演算'!$Q$1102),'演算'!$L$25*A18+1,'演算'!$L$25))</f>
      </c>
      <c r="J18" s="1122"/>
      <c r="K18" s="1122"/>
      <c r="L18" s="961">
        <f>WIDECHAR(MID(CONCATENATE('演算'!$M$229,'演算'!$M$496,'演算'!$M$775,'演算'!$M$1054,'演算'!$M$1333),'演算'!$L$32*A18+1,'演算'!$L$32))</f>
      </c>
      <c r="M18" s="967"/>
      <c r="N18" s="967"/>
      <c r="O18" s="967"/>
      <c r="P18" s="967"/>
      <c r="Q18" s="967"/>
      <c r="R18" s="967"/>
      <c r="S18" s="967"/>
      <c r="T18" s="967"/>
      <c r="U18" s="968"/>
      <c r="V18" s="961">
        <f>WIDECHAR(MID(CONCATENATE('演算'!$M$230,'演算'!$M$497,'演算'!$M$776,'演算'!$M$1055,'演算'!$M$1334),'演算'!$L$40*A18+1,'演算'!$L$40))</f>
      </c>
      <c r="W18" s="967"/>
      <c r="X18" s="968"/>
      <c r="Y18" s="1103">
        <f>WIDECHAR(MID(CONCATENATE('演算'!$M$231,'演算'!$M$498,'演算'!$M$777,'演算'!$M$1056,'演算'!$M$1335),'演算'!$L$49*A18+1,'演算'!$L$49))</f>
      </c>
      <c r="Z18" s="1104"/>
      <c r="AA18" s="1105"/>
      <c r="AB18" s="964">
        <f>MID(CONCATENATE('演算'!$M$232,'演算'!$M$499,'演算'!$M$778,'演算'!$M$1057,'演算'!$M$1336,REPT("　",130)),5*A18+1,5)</f>
      </c>
      <c r="AC18" s="969"/>
      <c r="AD18" s="1103">
        <f t="shared" si="0"/>
      </c>
      <c r="AE18" s="1104"/>
      <c r="AF18" s="952" t="str">
        <f t="shared" si="1"/>
        <v>～</v>
      </c>
      <c r="AG18" s="966">
        <f>MID(CONCATENATE('演算'!$M$233,'演算'!$M$500,'演算'!$M$779,'演算'!$M$1058,'演算'!$M$1337),5*A18+1,5)</f>
      </c>
      <c r="AH18" s="1104">
        <f t="shared" si="2"/>
      </c>
      <c r="AI18" s="1105"/>
      <c r="AJ18" s="953">
        <f>WIDECHAR(MID(CONCATENATE('演算'!$M$234,'演算'!$M$501,'演算'!$M$780,'演算'!$M$1059,'演算'!$M$1338),A18+1,1))</f>
      </c>
      <c r="AL18" s="184">
        <v>12</v>
      </c>
    </row>
    <row r="19" spans="1:38" s="65" customFormat="1" ht="18" customHeight="1">
      <c r="A19" s="65">
        <v>66</v>
      </c>
      <c r="B19" s="1121">
        <f>WIDECHAR(MID(CONCATENATE('演算'!$Q$10,'演算'!$Q$242,'演算'!$Q$521,'演算'!$Q$800,'演算'!$Q$1079),'演算'!$L$10*A19+1,'演算'!$L$10))</f>
      </c>
      <c r="C19" s="1123"/>
      <c r="D19" s="961">
        <f>WIDECHAR(MID(CONCATENATE('演算'!$Q$18,'演算'!$Q$254,'演算'!$Q$533,'演算'!$Q$812,'演算'!$Q$1091),'演算'!$L$18*A19+1,'演算'!$L$18))</f>
      </c>
      <c r="E19" s="967"/>
      <c r="F19" s="967"/>
      <c r="G19" s="967"/>
      <c r="H19" s="968"/>
      <c r="I19" s="1121">
        <f>WIDECHAR(MID(CONCATENATE('演算'!$Q$25,'演算'!$Q$265,'演算'!$Q$544,'演算'!$Q$823,'演算'!$Q$1102),'演算'!$L$25*A19+1,'演算'!$L$25))</f>
      </c>
      <c r="J19" s="1122"/>
      <c r="K19" s="1122"/>
      <c r="L19" s="961">
        <f>WIDECHAR(MID(CONCATENATE('演算'!$M$229,'演算'!$M$496,'演算'!$M$775,'演算'!$M$1054,'演算'!$M$1333),'演算'!$L$32*A19+1,'演算'!$L$32))</f>
      </c>
      <c r="M19" s="967"/>
      <c r="N19" s="967"/>
      <c r="O19" s="967"/>
      <c r="P19" s="967"/>
      <c r="Q19" s="967"/>
      <c r="R19" s="967"/>
      <c r="S19" s="967"/>
      <c r="T19" s="967"/>
      <c r="U19" s="968"/>
      <c r="V19" s="961">
        <f>WIDECHAR(MID(CONCATENATE('演算'!$M$230,'演算'!$M$497,'演算'!$M$776,'演算'!$M$1055,'演算'!$M$1334),'演算'!$L$40*A19+1,'演算'!$L$40))</f>
      </c>
      <c r="W19" s="967"/>
      <c r="X19" s="968"/>
      <c r="Y19" s="1103">
        <f>WIDECHAR(MID(CONCATENATE('演算'!$M$231,'演算'!$M$498,'演算'!$M$777,'演算'!$M$1056,'演算'!$M$1335),'演算'!$L$49*A19+1,'演算'!$L$49))</f>
      </c>
      <c r="Z19" s="1104"/>
      <c r="AA19" s="1105"/>
      <c r="AB19" s="964">
        <f>MID(CONCATENATE('演算'!$M$232,'演算'!$M$499,'演算'!$M$778,'演算'!$M$1057,'演算'!$M$1336,REPT("　",130)),5*A19+1,5)</f>
      </c>
      <c r="AC19" s="969"/>
      <c r="AD19" s="1103">
        <f t="shared" si="0"/>
      </c>
      <c r="AE19" s="1104"/>
      <c r="AF19" s="952" t="str">
        <f t="shared" si="1"/>
        <v>～</v>
      </c>
      <c r="AG19" s="966">
        <f>MID(CONCATENATE('演算'!$M$233,'演算'!$M$500,'演算'!$M$779,'演算'!$M$1058,'演算'!$M$1337),5*A19+1,5)</f>
      </c>
      <c r="AH19" s="1104">
        <f t="shared" si="2"/>
      </c>
      <c r="AI19" s="1105"/>
      <c r="AJ19" s="953">
        <f>WIDECHAR(MID(CONCATENATE('演算'!$M$234,'演算'!$M$501,'演算'!$M$780,'演算'!$M$1059,'演算'!$M$1338),A19+1,1))</f>
      </c>
      <c r="AL19" s="184">
        <v>13</v>
      </c>
    </row>
    <row r="20" spans="1:38" s="65" customFormat="1" ht="18" customHeight="1">
      <c r="A20" s="65">
        <v>67</v>
      </c>
      <c r="B20" s="1121">
        <f>WIDECHAR(MID(CONCATENATE('演算'!$Q$10,'演算'!$Q$242,'演算'!$Q$521,'演算'!$Q$800,'演算'!$Q$1079),'演算'!$L$10*A20+1,'演算'!$L$10))</f>
      </c>
      <c r="C20" s="1123"/>
      <c r="D20" s="961">
        <f>WIDECHAR(MID(CONCATENATE('演算'!$Q$18,'演算'!$Q$254,'演算'!$Q$533,'演算'!$Q$812,'演算'!$Q$1091),'演算'!$L$18*A20+1,'演算'!$L$18))</f>
      </c>
      <c r="E20" s="967"/>
      <c r="F20" s="967"/>
      <c r="G20" s="967"/>
      <c r="H20" s="968"/>
      <c r="I20" s="1121">
        <f>WIDECHAR(MID(CONCATENATE('演算'!$Q$25,'演算'!$Q$265,'演算'!$Q$544,'演算'!$Q$823,'演算'!$Q$1102),'演算'!$L$25*A20+1,'演算'!$L$25))</f>
      </c>
      <c r="J20" s="1122"/>
      <c r="K20" s="1122"/>
      <c r="L20" s="961">
        <f>WIDECHAR(MID(CONCATENATE('演算'!$M$229,'演算'!$M$496,'演算'!$M$775,'演算'!$M$1054,'演算'!$M$1333),'演算'!$L$32*A20+1,'演算'!$L$32))</f>
      </c>
      <c r="M20" s="967"/>
      <c r="N20" s="967"/>
      <c r="O20" s="967"/>
      <c r="P20" s="967"/>
      <c r="Q20" s="967"/>
      <c r="R20" s="967"/>
      <c r="S20" s="967"/>
      <c r="T20" s="967"/>
      <c r="U20" s="968"/>
      <c r="V20" s="961">
        <f>WIDECHAR(MID(CONCATENATE('演算'!$M$230,'演算'!$M$497,'演算'!$M$776,'演算'!$M$1055,'演算'!$M$1334),'演算'!$L$40*A20+1,'演算'!$L$40))</f>
      </c>
      <c r="W20" s="967"/>
      <c r="X20" s="968"/>
      <c r="Y20" s="1103">
        <f>WIDECHAR(MID(CONCATENATE('演算'!$M$231,'演算'!$M$498,'演算'!$M$777,'演算'!$M$1056,'演算'!$M$1335),'演算'!$L$49*A20+1,'演算'!$L$49))</f>
      </c>
      <c r="Z20" s="1104"/>
      <c r="AA20" s="1105"/>
      <c r="AB20" s="964">
        <f>MID(CONCATENATE('演算'!$M$232,'演算'!$M$499,'演算'!$M$778,'演算'!$M$1057,'演算'!$M$1336,REPT("　",130)),5*A20+1,5)</f>
      </c>
      <c r="AC20" s="969"/>
      <c r="AD20" s="1103">
        <f t="shared" si="0"/>
      </c>
      <c r="AE20" s="1104"/>
      <c r="AF20" s="952" t="str">
        <f t="shared" si="1"/>
        <v>～</v>
      </c>
      <c r="AG20" s="966">
        <f>MID(CONCATENATE('演算'!$M$233,'演算'!$M$500,'演算'!$M$779,'演算'!$M$1058,'演算'!$M$1337),5*A20+1,5)</f>
      </c>
      <c r="AH20" s="1104">
        <f t="shared" si="2"/>
      </c>
      <c r="AI20" s="1105"/>
      <c r="AJ20" s="953">
        <f>WIDECHAR(MID(CONCATENATE('演算'!$M$234,'演算'!$M$501,'演算'!$M$780,'演算'!$M$1059,'演算'!$M$1338),A20+1,1))</f>
      </c>
      <c r="AL20" s="184">
        <v>14</v>
      </c>
    </row>
    <row r="21" spans="1:38" s="65" customFormat="1" ht="18" customHeight="1">
      <c r="A21" s="65">
        <v>68</v>
      </c>
      <c r="B21" s="1121">
        <f>WIDECHAR(MID(CONCATENATE('演算'!$Q$10,'演算'!$Q$242,'演算'!$Q$521,'演算'!$Q$800,'演算'!$Q$1079),'演算'!$L$10*A21+1,'演算'!$L$10))</f>
      </c>
      <c r="C21" s="1123"/>
      <c r="D21" s="961">
        <f>WIDECHAR(MID(CONCATENATE('演算'!$Q$18,'演算'!$Q$254,'演算'!$Q$533,'演算'!$Q$812,'演算'!$Q$1091),'演算'!$L$18*A21+1,'演算'!$L$18))</f>
      </c>
      <c r="E21" s="967"/>
      <c r="F21" s="967"/>
      <c r="G21" s="967"/>
      <c r="H21" s="968"/>
      <c r="I21" s="1121">
        <f>WIDECHAR(MID(CONCATENATE('演算'!$Q$25,'演算'!$Q$265,'演算'!$Q$544,'演算'!$Q$823,'演算'!$Q$1102),'演算'!$L$25*A21+1,'演算'!$L$25))</f>
      </c>
      <c r="J21" s="1122"/>
      <c r="K21" s="1122"/>
      <c r="L21" s="961">
        <f>WIDECHAR(MID(CONCATENATE('演算'!$M$229,'演算'!$M$496,'演算'!$M$775,'演算'!$M$1054,'演算'!$M$1333),'演算'!$L$32*A21+1,'演算'!$L$32))</f>
      </c>
      <c r="M21" s="967"/>
      <c r="N21" s="967"/>
      <c r="O21" s="967"/>
      <c r="P21" s="967"/>
      <c r="Q21" s="967"/>
      <c r="R21" s="967"/>
      <c r="S21" s="967"/>
      <c r="T21" s="967"/>
      <c r="U21" s="968"/>
      <c r="V21" s="961">
        <f>WIDECHAR(MID(CONCATENATE('演算'!$M$230,'演算'!$M$497,'演算'!$M$776,'演算'!$M$1055,'演算'!$M$1334),'演算'!$L$40*A21+1,'演算'!$L$40))</f>
      </c>
      <c r="W21" s="967"/>
      <c r="X21" s="968"/>
      <c r="Y21" s="1103">
        <f>WIDECHAR(MID(CONCATENATE('演算'!$M$231,'演算'!$M$498,'演算'!$M$777,'演算'!$M$1056,'演算'!$M$1335),'演算'!$L$49*A21+1,'演算'!$L$49))</f>
      </c>
      <c r="Z21" s="1104"/>
      <c r="AA21" s="1105"/>
      <c r="AB21" s="964">
        <f>MID(CONCATENATE('演算'!$M$232,'演算'!$M$499,'演算'!$M$778,'演算'!$M$1057,'演算'!$M$1336,REPT("　",130)),5*A21+1,5)</f>
      </c>
      <c r="AC21" s="969"/>
      <c r="AD21" s="1103">
        <f t="shared" si="0"/>
      </c>
      <c r="AE21" s="1104"/>
      <c r="AF21" s="952" t="str">
        <f t="shared" si="1"/>
        <v>～</v>
      </c>
      <c r="AG21" s="966">
        <f>MID(CONCATENATE('演算'!$M$233,'演算'!$M$500,'演算'!$M$779,'演算'!$M$1058,'演算'!$M$1337),5*A21+1,5)</f>
      </c>
      <c r="AH21" s="1104">
        <f t="shared" si="2"/>
      </c>
      <c r="AI21" s="1105"/>
      <c r="AJ21" s="953">
        <f>WIDECHAR(MID(CONCATENATE('演算'!$M$234,'演算'!$M$501,'演算'!$M$780,'演算'!$M$1059,'演算'!$M$1338),A21+1,1))</f>
      </c>
      <c r="AL21" s="184">
        <v>15</v>
      </c>
    </row>
    <row r="22" spans="1:38" s="65" customFormat="1" ht="18" customHeight="1">
      <c r="A22" s="65">
        <v>69</v>
      </c>
      <c r="B22" s="1121">
        <f>WIDECHAR(MID(CONCATENATE('演算'!$Q$10,'演算'!$Q$242,'演算'!$Q$521,'演算'!$Q$800,'演算'!$Q$1079),'演算'!$L$10*A22+1,'演算'!$L$10))</f>
      </c>
      <c r="C22" s="1123"/>
      <c r="D22" s="961">
        <f>WIDECHAR(MID(CONCATENATE('演算'!$Q$18,'演算'!$Q$254,'演算'!$Q$533,'演算'!$Q$812,'演算'!$Q$1091),'演算'!$L$18*A22+1,'演算'!$L$18))</f>
      </c>
      <c r="E22" s="967"/>
      <c r="F22" s="967"/>
      <c r="G22" s="967"/>
      <c r="H22" s="968"/>
      <c r="I22" s="1121">
        <f>WIDECHAR(MID(CONCATENATE('演算'!$Q$25,'演算'!$Q$265,'演算'!$Q$544,'演算'!$Q$823,'演算'!$Q$1102),'演算'!$L$25*A22+1,'演算'!$L$25))</f>
      </c>
      <c r="J22" s="1122"/>
      <c r="K22" s="1122"/>
      <c r="L22" s="961">
        <f>WIDECHAR(MID(CONCATENATE('演算'!$M$229,'演算'!$M$496,'演算'!$M$775,'演算'!$M$1054,'演算'!$M$1333),'演算'!$L$32*A22+1,'演算'!$L$32))</f>
      </c>
      <c r="M22" s="967"/>
      <c r="N22" s="967"/>
      <c r="O22" s="967"/>
      <c r="P22" s="967"/>
      <c r="Q22" s="967"/>
      <c r="R22" s="967"/>
      <c r="S22" s="967"/>
      <c r="T22" s="967"/>
      <c r="U22" s="968"/>
      <c r="V22" s="961">
        <f>WIDECHAR(MID(CONCATENATE('演算'!$M$230,'演算'!$M$497,'演算'!$M$776,'演算'!$M$1055,'演算'!$M$1334),'演算'!$L$40*A22+1,'演算'!$L$40))</f>
      </c>
      <c r="W22" s="967"/>
      <c r="X22" s="968"/>
      <c r="Y22" s="1103">
        <f>WIDECHAR(MID(CONCATENATE('演算'!$M$231,'演算'!$M$498,'演算'!$M$777,'演算'!$M$1056,'演算'!$M$1335),'演算'!$L$49*A22+1,'演算'!$L$49))</f>
      </c>
      <c r="Z22" s="1104"/>
      <c r="AA22" s="1105"/>
      <c r="AB22" s="964">
        <f>MID(CONCATENATE('演算'!$M$232,'演算'!$M$499,'演算'!$M$778,'演算'!$M$1057,'演算'!$M$1336,REPT("　",130)),5*A22+1,5)</f>
      </c>
      <c r="AC22" s="969"/>
      <c r="AD22" s="1103">
        <f t="shared" si="0"/>
      </c>
      <c r="AE22" s="1104"/>
      <c r="AF22" s="952" t="str">
        <f t="shared" si="1"/>
        <v>～</v>
      </c>
      <c r="AG22" s="966">
        <f>MID(CONCATENATE('演算'!$M$233,'演算'!$M$500,'演算'!$M$779,'演算'!$M$1058,'演算'!$M$1337),5*A22+1,5)</f>
      </c>
      <c r="AH22" s="1104">
        <f t="shared" si="2"/>
      </c>
      <c r="AI22" s="1105"/>
      <c r="AJ22" s="953">
        <f>WIDECHAR(MID(CONCATENATE('演算'!$M$234,'演算'!$M$501,'演算'!$M$780,'演算'!$M$1059,'演算'!$M$1338),A22+1,1))</f>
      </c>
      <c r="AL22" s="184">
        <v>16</v>
      </c>
    </row>
    <row r="23" spans="1:38" s="65" customFormat="1" ht="18" customHeight="1">
      <c r="A23" s="65">
        <v>70</v>
      </c>
      <c r="B23" s="1121">
        <f>WIDECHAR(MID(CONCATENATE('演算'!$Q$10,'演算'!$Q$242,'演算'!$Q$521,'演算'!$Q$800,'演算'!$Q$1079),'演算'!$L$10*A23+1,'演算'!$L$10))</f>
      </c>
      <c r="C23" s="1123"/>
      <c r="D23" s="961">
        <f>WIDECHAR(MID(CONCATENATE('演算'!$Q$18,'演算'!$Q$254,'演算'!$Q$533,'演算'!$Q$812,'演算'!$Q$1091),'演算'!$L$18*A23+1,'演算'!$L$18))</f>
      </c>
      <c r="E23" s="967"/>
      <c r="F23" s="967"/>
      <c r="G23" s="967"/>
      <c r="H23" s="968"/>
      <c r="I23" s="1121">
        <f>WIDECHAR(MID(CONCATENATE('演算'!$Q$25,'演算'!$Q$265,'演算'!$Q$544,'演算'!$Q$823,'演算'!$Q$1102),'演算'!$L$25*A23+1,'演算'!$L$25))</f>
      </c>
      <c r="J23" s="1122"/>
      <c r="K23" s="1122"/>
      <c r="L23" s="961">
        <f>WIDECHAR(MID(CONCATENATE('演算'!$M$229,'演算'!$M$496,'演算'!$M$775,'演算'!$M$1054,'演算'!$M$1333),'演算'!$L$32*A23+1,'演算'!$L$32))</f>
      </c>
      <c r="M23" s="967"/>
      <c r="N23" s="967"/>
      <c r="O23" s="967"/>
      <c r="P23" s="967"/>
      <c r="Q23" s="967"/>
      <c r="R23" s="967"/>
      <c r="S23" s="967"/>
      <c r="T23" s="967"/>
      <c r="U23" s="968"/>
      <c r="V23" s="961">
        <f>WIDECHAR(MID(CONCATENATE('演算'!$M$230,'演算'!$M$497,'演算'!$M$776,'演算'!$M$1055,'演算'!$M$1334),'演算'!$L$40*A23+1,'演算'!$L$40))</f>
      </c>
      <c r="W23" s="967"/>
      <c r="X23" s="968"/>
      <c r="Y23" s="1103">
        <f>WIDECHAR(MID(CONCATENATE('演算'!$M$231,'演算'!$M$498,'演算'!$M$777,'演算'!$M$1056,'演算'!$M$1335),'演算'!$L$49*A23+1,'演算'!$L$49))</f>
      </c>
      <c r="Z23" s="1104"/>
      <c r="AA23" s="1105"/>
      <c r="AB23" s="964">
        <f>MID(CONCATENATE('演算'!$M$232,'演算'!$M$499,'演算'!$M$778,'演算'!$M$1057,'演算'!$M$1336,REPT("　",130)),5*A23+1,5)</f>
      </c>
      <c r="AC23" s="969"/>
      <c r="AD23" s="1103">
        <f t="shared" si="0"/>
      </c>
      <c r="AE23" s="1104"/>
      <c r="AF23" s="952" t="str">
        <f t="shared" si="1"/>
        <v>～</v>
      </c>
      <c r="AG23" s="966">
        <f>MID(CONCATENATE('演算'!$M$233,'演算'!$M$500,'演算'!$M$779,'演算'!$M$1058,'演算'!$M$1337),5*A23+1,5)</f>
      </c>
      <c r="AH23" s="1104">
        <f t="shared" si="2"/>
      </c>
      <c r="AI23" s="1105"/>
      <c r="AJ23" s="953">
        <f>WIDECHAR(MID(CONCATENATE('演算'!$M$234,'演算'!$M$501,'演算'!$M$780,'演算'!$M$1059,'演算'!$M$1338),A23+1,1))</f>
      </c>
      <c r="AL23" s="184">
        <v>17</v>
      </c>
    </row>
    <row r="24" spans="1:38" s="65" customFormat="1" ht="18" customHeight="1">
      <c r="A24" s="65">
        <v>71</v>
      </c>
      <c r="B24" s="1121">
        <f>WIDECHAR(MID(CONCATENATE('演算'!$Q$10,'演算'!$Q$242,'演算'!$Q$521,'演算'!$Q$800,'演算'!$Q$1079),'演算'!$L$10*A24+1,'演算'!$L$10))</f>
      </c>
      <c r="C24" s="1123"/>
      <c r="D24" s="961">
        <f>WIDECHAR(MID(CONCATENATE('演算'!$Q$18,'演算'!$Q$254,'演算'!$Q$533,'演算'!$Q$812,'演算'!$Q$1091),'演算'!$L$18*A24+1,'演算'!$L$18))</f>
      </c>
      <c r="E24" s="967"/>
      <c r="F24" s="967"/>
      <c r="G24" s="967"/>
      <c r="H24" s="968"/>
      <c r="I24" s="1121">
        <f>WIDECHAR(MID(CONCATENATE('演算'!$Q$25,'演算'!$Q$265,'演算'!$Q$544,'演算'!$Q$823,'演算'!$Q$1102),'演算'!$L$25*A24+1,'演算'!$L$25))</f>
      </c>
      <c r="J24" s="1122"/>
      <c r="K24" s="1122"/>
      <c r="L24" s="961">
        <f>WIDECHAR(MID(CONCATENATE('演算'!$M$229,'演算'!$M$496,'演算'!$M$775,'演算'!$M$1054,'演算'!$M$1333),'演算'!$L$32*A24+1,'演算'!$L$32))</f>
      </c>
      <c r="M24" s="967"/>
      <c r="N24" s="967"/>
      <c r="O24" s="967"/>
      <c r="P24" s="967"/>
      <c r="Q24" s="967"/>
      <c r="R24" s="967"/>
      <c r="S24" s="967"/>
      <c r="T24" s="967"/>
      <c r="U24" s="968"/>
      <c r="V24" s="961">
        <f>WIDECHAR(MID(CONCATENATE('演算'!$M$230,'演算'!$M$497,'演算'!$M$776,'演算'!$M$1055,'演算'!$M$1334),'演算'!$L$40*A24+1,'演算'!$L$40))</f>
      </c>
      <c r="W24" s="967"/>
      <c r="X24" s="968"/>
      <c r="Y24" s="1103">
        <f>WIDECHAR(MID(CONCATENATE('演算'!$M$231,'演算'!$M$498,'演算'!$M$777,'演算'!$M$1056,'演算'!$M$1335),'演算'!$L$49*A24+1,'演算'!$L$49))</f>
      </c>
      <c r="Z24" s="1104"/>
      <c r="AA24" s="1105"/>
      <c r="AB24" s="964">
        <f>MID(CONCATENATE('演算'!$M$232,'演算'!$M$499,'演算'!$M$778,'演算'!$M$1057,'演算'!$M$1336,REPT("　",130)),5*A24+1,5)</f>
      </c>
      <c r="AC24" s="969"/>
      <c r="AD24" s="1103">
        <f t="shared" si="0"/>
      </c>
      <c r="AE24" s="1104"/>
      <c r="AF24" s="952" t="str">
        <f t="shared" si="1"/>
        <v>～</v>
      </c>
      <c r="AG24" s="966">
        <f>MID(CONCATENATE('演算'!$M$233,'演算'!$M$500,'演算'!$M$779,'演算'!$M$1058,'演算'!$M$1337),5*A24+1,5)</f>
      </c>
      <c r="AH24" s="1104">
        <f t="shared" si="2"/>
      </c>
      <c r="AI24" s="1105"/>
      <c r="AJ24" s="953">
        <f>WIDECHAR(MID(CONCATENATE('演算'!$M$234,'演算'!$M$501,'演算'!$M$780,'演算'!$M$1059,'演算'!$M$1338),A24+1,1))</f>
      </c>
      <c r="AL24" s="184">
        <v>18</v>
      </c>
    </row>
    <row r="25" spans="1:38" s="65" customFormat="1" ht="18" customHeight="1">
      <c r="A25" s="65">
        <v>72</v>
      </c>
      <c r="B25" s="1121">
        <f>WIDECHAR(MID(CONCATENATE('演算'!$Q$10,'演算'!$Q$242,'演算'!$Q$521,'演算'!$Q$800,'演算'!$Q$1079),'演算'!$L$10*A25+1,'演算'!$L$10))</f>
      </c>
      <c r="C25" s="1123"/>
      <c r="D25" s="961">
        <f>WIDECHAR(MID(CONCATENATE('演算'!$Q$18,'演算'!$Q$254,'演算'!$Q$533,'演算'!$Q$812,'演算'!$Q$1091),'演算'!$L$18*A25+1,'演算'!$L$18))</f>
      </c>
      <c r="E25" s="967"/>
      <c r="F25" s="967"/>
      <c r="G25" s="967"/>
      <c r="H25" s="968"/>
      <c r="I25" s="1121">
        <f>WIDECHAR(MID(CONCATENATE('演算'!$Q$25,'演算'!$Q$265,'演算'!$Q$544,'演算'!$Q$823,'演算'!$Q$1102),'演算'!$L$25*A25+1,'演算'!$L$25))</f>
      </c>
      <c r="J25" s="1122"/>
      <c r="K25" s="1122"/>
      <c r="L25" s="961">
        <f>WIDECHAR(MID(CONCATENATE('演算'!$M$229,'演算'!$M$496,'演算'!$M$775,'演算'!$M$1054,'演算'!$M$1333),'演算'!$L$32*A25+1,'演算'!$L$32))</f>
      </c>
      <c r="M25" s="967"/>
      <c r="N25" s="967"/>
      <c r="O25" s="967"/>
      <c r="P25" s="967"/>
      <c r="Q25" s="967"/>
      <c r="R25" s="967"/>
      <c r="S25" s="967"/>
      <c r="T25" s="967"/>
      <c r="U25" s="968"/>
      <c r="V25" s="961">
        <f>WIDECHAR(MID(CONCATENATE('演算'!$M$230,'演算'!$M$497,'演算'!$M$776,'演算'!$M$1055,'演算'!$M$1334),'演算'!$L$40*A25+1,'演算'!$L$40))</f>
      </c>
      <c r="W25" s="967"/>
      <c r="X25" s="968"/>
      <c r="Y25" s="1103">
        <f>WIDECHAR(MID(CONCATENATE('演算'!$M$231,'演算'!$M$498,'演算'!$M$777,'演算'!$M$1056,'演算'!$M$1335),'演算'!$L$49*A25+1,'演算'!$L$49))</f>
      </c>
      <c r="Z25" s="1104"/>
      <c r="AA25" s="1105"/>
      <c r="AB25" s="964">
        <f>MID(CONCATENATE('演算'!$M$232,'演算'!$M$499,'演算'!$M$778,'演算'!$M$1057,'演算'!$M$1336,REPT("　",130)),5*A25+1,5)</f>
      </c>
      <c r="AC25" s="969"/>
      <c r="AD25" s="1103">
        <f t="shared" si="0"/>
      </c>
      <c r="AE25" s="1104"/>
      <c r="AF25" s="952" t="str">
        <f t="shared" si="1"/>
        <v>～</v>
      </c>
      <c r="AG25" s="966">
        <f>MID(CONCATENATE('演算'!$M$233,'演算'!$M$500,'演算'!$M$779,'演算'!$M$1058,'演算'!$M$1337),5*A25+1,5)</f>
      </c>
      <c r="AH25" s="1104">
        <f t="shared" si="2"/>
      </c>
      <c r="AI25" s="1105"/>
      <c r="AJ25" s="953">
        <f>WIDECHAR(MID(CONCATENATE('演算'!$M$234,'演算'!$M$501,'演算'!$M$780,'演算'!$M$1059,'演算'!$M$1338),A25+1,1))</f>
      </c>
      <c r="AL25" s="184">
        <v>19</v>
      </c>
    </row>
    <row r="26" spans="1:38" s="65" customFormat="1" ht="18" customHeight="1">
      <c r="A26" s="65">
        <v>73</v>
      </c>
      <c r="B26" s="1121">
        <f>WIDECHAR(MID(CONCATENATE('演算'!$Q$10,'演算'!$Q$242,'演算'!$Q$521,'演算'!$Q$800,'演算'!$Q$1079),'演算'!$L$10*A26+1,'演算'!$L$10))</f>
      </c>
      <c r="C26" s="1123"/>
      <c r="D26" s="961">
        <f>WIDECHAR(MID(CONCATENATE('演算'!$Q$18,'演算'!$Q$254,'演算'!$Q$533,'演算'!$Q$812,'演算'!$Q$1091),'演算'!$L$18*A26+1,'演算'!$L$18))</f>
      </c>
      <c r="E26" s="967"/>
      <c r="F26" s="967"/>
      <c r="G26" s="967"/>
      <c r="H26" s="968"/>
      <c r="I26" s="1121">
        <f>WIDECHAR(MID(CONCATENATE('演算'!$Q$25,'演算'!$Q$265,'演算'!$Q$544,'演算'!$Q$823,'演算'!$Q$1102),'演算'!$L$25*A26+1,'演算'!$L$25))</f>
      </c>
      <c r="J26" s="1122"/>
      <c r="K26" s="1122"/>
      <c r="L26" s="961">
        <f>WIDECHAR(MID(CONCATENATE('演算'!$M$229,'演算'!$M$496,'演算'!$M$775,'演算'!$M$1054,'演算'!$M$1333),'演算'!$L$32*A26+1,'演算'!$L$32))</f>
      </c>
      <c r="M26" s="967"/>
      <c r="N26" s="967"/>
      <c r="O26" s="967"/>
      <c r="P26" s="967"/>
      <c r="Q26" s="967"/>
      <c r="R26" s="967"/>
      <c r="S26" s="967"/>
      <c r="T26" s="967"/>
      <c r="U26" s="968"/>
      <c r="V26" s="961">
        <f>WIDECHAR(MID(CONCATENATE('演算'!$M$230,'演算'!$M$497,'演算'!$M$776,'演算'!$M$1055,'演算'!$M$1334),'演算'!$L$40*A26+1,'演算'!$L$40))</f>
      </c>
      <c r="W26" s="967"/>
      <c r="X26" s="968"/>
      <c r="Y26" s="1103">
        <f>WIDECHAR(MID(CONCATENATE('演算'!$M$231,'演算'!$M$498,'演算'!$M$777,'演算'!$M$1056,'演算'!$M$1335),'演算'!$L$49*A26+1,'演算'!$L$49))</f>
      </c>
      <c r="Z26" s="1104"/>
      <c r="AA26" s="1105"/>
      <c r="AB26" s="964">
        <f>MID(CONCATENATE('演算'!$M$232,'演算'!$M$499,'演算'!$M$778,'演算'!$M$1057,'演算'!$M$1336,REPT("　",130)),5*A26+1,5)</f>
      </c>
      <c r="AC26" s="969"/>
      <c r="AD26" s="1103">
        <f t="shared" si="0"/>
      </c>
      <c r="AE26" s="1104"/>
      <c r="AF26" s="952" t="str">
        <f t="shared" si="1"/>
        <v>～</v>
      </c>
      <c r="AG26" s="966">
        <f>MID(CONCATENATE('演算'!$M$233,'演算'!$M$500,'演算'!$M$779,'演算'!$M$1058,'演算'!$M$1337),5*A26+1,5)</f>
      </c>
      <c r="AH26" s="1104">
        <f t="shared" si="2"/>
      </c>
      <c r="AI26" s="1105"/>
      <c r="AJ26" s="953">
        <f>WIDECHAR(MID(CONCATENATE('演算'!$M$234,'演算'!$M$501,'演算'!$M$780,'演算'!$M$1059,'演算'!$M$1338),A26+1,1))</f>
      </c>
      <c r="AL26" s="184">
        <v>20</v>
      </c>
    </row>
    <row r="27" spans="1:38" s="65" customFormat="1" ht="18" customHeight="1">
      <c r="A27" s="65">
        <v>74</v>
      </c>
      <c r="B27" s="1121">
        <f>WIDECHAR(MID(CONCATENATE('演算'!$Q$10,'演算'!$Q$242,'演算'!$Q$521,'演算'!$Q$800,'演算'!$Q$1079),'演算'!$L$10*A27+1,'演算'!$L$10))</f>
      </c>
      <c r="C27" s="1123"/>
      <c r="D27" s="961">
        <f>WIDECHAR(MID(CONCATENATE('演算'!$Q$18,'演算'!$Q$254,'演算'!$Q$533,'演算'!$Q$812,'演算'!$Q$1091),'演算'!$L$18*A27+1,'演算'!$L$18))</f>
      </c>
      <c r="E27" s="967"/>
      <c r="F27" s="967"/>
      <c r="G27" s="967"/>
      <c r="H27" s="968"/>
      <c r="I27" s="1121">
        <f>WIDECHAR(MID(CONCATENATE('演算'!$Q$25,'演算'!$Q$265,'演算'!$Q$544,'演算'!$Q$823,'演算'!$Q$1102),'演算'!$L$25*A27+1,'演算'!$L$25))</f>
      </c>
      <c r="J27" s="1122"/>
      <c r="K27" s="1122"/>
      <c r="L27" s="961">
        <f>WIDECHAR(MID(CONCATENATE('演算'!$M$229,'演算'!$M$496,'演算'!$M$775,'演算'!$M$1054,'演算'!$M$1333),'演算'!$L$32*A27+1,'演算'!$L$32))</f>
      </c>
      <c r="M27" s="967"/>
      <c r="N27" s="967"/>
      <c r="O27" s="967"/>
      <c r="P27" s="967"/>
      <c r="Q27" s="967"/>
      <c r="R27" s="967"/>
      <c r="S27" s="967"/>
      <c r="T27" s="967"/>
      <c r="U27" s="968"/>
      <c r="V27" s="961">
        <f>WIDECHAR(MID(CONCATENATE('演算'!$M$230,'演算'!$M$497,'演算'!$M$776,'演算'!$M$1055,'演算'!$M$1334),'演算'!$L$40*A27+1,'演算'!$L$40))</f>
      </c>
      <c r="W27" s="967"/>
      <c r="X27" s="968"/>
      <c r="Y27" s="1103">
        <f>WIDECHAR(MID(CONCATENATE('演算'!$M$231,'演算'!$M$498,'演算'!$M$777,'演算'!$M$1056,'演算'!$M$1335),'演算'!$L$49*A27+1,'演算'!$L$49))</f>
      </c>
      <c r="Z27" s="1104"/>
      <c r="AA27" s="1105"/>
      <c r="AB27" s="964">
        <f>MID(CONCATENATE('演算'!$M$232,'演算'!$M$499,'演算'!$M$778,'演算'!$M$1057,'演算'!$M$1336,REPT("　",130)),5*A27+1,5)</f>
      </c>
      <c r="AC27" s="969"/>
      <c r="AD27" s="1103">
        <f t="shared" si="0"/>
      </c>
      <c r="AE27" s="1104"/>
      <c r="AF27" s="952" t="str">
        <f t="shared" si="1"/>
        <v>～</v>
      </c>
      <c r="AG27" s="966">
        <f>MID(CONCATENATE('演算'!$M$233,'演算'!$M$500,'演算'!$M$779,'演算'!$M$1058,'演算'!$M$1337),5*A27+1,5)</f>
      </c>
      <c r="AH27" s="1104">
        <f t="shared" si="2"/>
      </c>
      <c r="AI27" s="1105"/>
      <c r="AJ27" s="953">
        <f>WIDECHAR(MID(CONCATENATE('演算'!$M$234,'演算'!$M$501,'演算'!$M$780,'演算'!$M$1059,'演算'!$M$1338),A27+1,1))</f>
      </c>
      <c r="AL27" s="184">
        <v>21</v>
      </c>
    </row>
    <row r="28" spans="1:38" s="65" customFormat="1" ht="18" customHeight="1">
      <c r="A28" s="65">
        <v>75</v>
      </c>
      <c r="B28" s="1121">
        <f>WIDECHAR(MID(CONCATENATE('演算'!$Q$10,'演算'!$Q$242,'演算'!$Q$521,'演算'!$Q$800,'演算'!$Q$1079),'演算'!$L$10*A28+1,'演算'!$L$10))</f>
      </c>
      <c r="C28" s="1123"/>
      <c r="D28" s="961">
        <f>WIDECHAR(MID(CONCATENATE('演算'!$Q$18,'演算'!$Q$254,'演算'!$Q$533,'演算'!$Q$812,'演算'!$Q$1091),'演算'!$L$18*A28+1,'演算'!$L$18))</f>
      </c>
      <c r="E28" s="970"/>
      <c r="F28" s="970"/>
      <c r="G28" s="970"/>
      <c r="H28" s="971"/>
      <c r="I28" s="1121">
        <f>WIDECHAR(MID(CONCATENATE('演算'!$Q$25,'演算'!$Q$265,'演算'!$Q$544,'演算'!$Q$823,'演算'!$Q$1102),'演算'!$L$25*A28+1,'演算'!$L$25))</f>
      </c>
      <c r="J28" s="1122"/>
      <c r="K28" s="1122"/>
      <c r="L28" s="961">
        <f>WIDECHAR(MID(CONCATENATE('演算'!$M$229,'演算'!$M$496,'演算'!$M$775,'演算'!$M$1054,'演算'!$M$1333),'演算'!$L$32*A28+1,'演算'!$L$32))</f>
      </c>
      <c r="M28" s="970"/>
      <c r="N28" s="970"/>
      <c r="O28" s="970"/>
      <c r="P28" s="970"/>
      <c r="Q28" s="970"/>
      <c r="R28" s="970"/>
      <c r="S28" s="970"/>
      <c r="T28" s="970"/>
      <c r="U28" s="971"/>
      <c r="V28" s="961">
        <f>WIDECHAR(MID(CONCATENATE('演算'!$M$230,'演算'!$M$497,'演算'!$M$776,'演算'!$M$1055,'演算'!$M$1334),'演算'!$L$40*A28+1,'演算'!$L$40))</f>
      </c>
      <c r="W28" s="970"/>
      <c r="X28" s="971"/>
      <c r="Y28" s="1103">
        <f>WIDECHAR(MID(CONCATENATE('演算'!$M$231,'演算'!$M$498,'演算'!$M$777,'演算'!$M$1056,'演算'!$M$1335),'演算'!$L$49*A28+1,'演算'!$L$49))</f>
      </c>
      <c r="Z28" s="1104"/>
      <c r="AA28" s="1105"/>
      <c r="AB28" s="964">
        <f>MID(CONCATENATE('演算'!$M$232,'演算'!$M$499,'演算'!$M$778,'演算'!$M$1057,'演算'!$M$1336,REPT("　",130)),5*A28+1,5)</f>
      </c>
      <c r="AC28" s="969"/>
      <c r="AD28" s="1103">
        <f t="shared" si="0"/>
      </c>
      <c r="AE28" s="1104"/>
      <c r="AF28" s="952" t="str">
        <f t="shared" si="1"/>
        <v>～</v>
      </c>
      <c r="AG28" s="966">
        <f>MID(CONCATENATE('演算'!$M$233,'演算'!$M$500,'演算'!$M$779,'演算'!$M$1058,'演算'!$M$1337),5*A28+1,5)</f>
      </c>
      <c r="AH28" s="1104">
        <f t="shared" si="2"/>
      </c>
      <c r="AI28" s="1105"/>
      <c r="AJ28" s="953">
        <f>WIDECHAR(MID(CONCATENATE('演算'!$M$234,'演算'!$M$501,'演算'!$M$780,'演算'!$M$1059,'演算'!$M$1338),A28+1,1))</f>
      </c>
      <c r="AL28" s="184">
        <v>22</v>
      </c>
    </row>
    <row r="29" spans="1:38" ht="18" customHeight="1">
      <c r="A29" s="65">
        <v>76</v>
      </c>
      <c r="B29" s="1121">
        <f>WIDECHAR(MID(CONCATENATE('演算'!$Q$10,'演算'!$Q$242,'演算'!$Q$521,'演算'!$Q$800,'演算'!$Q$1079),'演算'!$L$10*A29+1,'演算'!$L$10))</f>
      </c>
      <c r="C29" s="1123"/>
      <c r="D29" s="961">
        <f>WIDECHAR(MID(CONCATENATE('演算'!$Q$18,'演算'!$Q$254,'演算'!$Q$533,'演算'!$Q$812,'演算'!$Q$1091),'演算'!$L$18*A29+1,'演算'!$L$18))</f>
      </c>
      <c r="E29" s="972"/>
      <c r="F29" s="972"/>
      <c r="G29" s="972"/>
      <c r="H29" s="973"/>
      <c r="I29" s="1121">
        <f>WIDECHAR(MID(CONCATENATE('演算'!$Q$25,'演算'!$Q$265,'演算'!$Q$544,'演算'!$Q$823,'演算'!$Q$1102),'演算'!$L$25*A29+1,'演算'!$L$25))</f>
      </c>
      <c r="J29" s="1122"/>
      <c r="K29" s="1122"/>
      <c r="L29" s="961">
        <f>WIDECHAR(MID(CONCATENATE('演算'!$M$229,'演算'!$M$496,'演算'!$M$775,'演算'!$M$1054,'演算'!$M$1333),'演算'!$L$32*A29+1,'演算'!$L$32))</f>
      </c>
      <c r="M29" s="967"/>
      <c r="N29" s="967"/>
      <c r="O29" s="972"/>
      <c r="P29" s="972"/>
      <c r="Q29" s="972"/>
      <c r="R29" s="972"/>
      <c r="S29" s="972"/>
      <c r="T29" s="972"/>
      <c r="U29" s="973"/>
      <c r="V29" s="961">
        <f>WIDECHAR(MID(CONCATENATE('演算'!$M$230,'演算'!$M$497,'演算'!$M$776,'演算'!$M$1055,'演算'!$M$1334),'演算'!$L$40*A29+1,'演算'!$L$40))</f>
      </c>
      <c r="W29" s="972"/>
      <c r="X29" s="973"/>
      <c r="Y29" s="1103">
        <f>WIDECHAR(MID(CONCATENATE('演算'!$M$231,'演算'!$M$498,'演算'!$M$777,'演算'!$M$1056,'演算'!$M$1335),'演算'!$L$49*A29+1,'演算'!$L$49))</f>
      </c>
      <c r="Z29" s="1104"/>
      <c r="AA29" s="1105"/>
      <c r="AB29" s="964">
        <f>MID(CONCATENATE('演算'!$M$232,'演算'!$M$499,'演算'!$M$778,'演算'!$M$1057,'演算'!$M$1336,REPT("　",130)),5*A29+1,5)</f>
      </c>
      <c r="AC29" s="969"/>
      <c r="AD29" s="1103">
        <f t="shared" si="0"/>
      </c>
      <c r="AE29" s="1104"/>
      <c r="AF29" s="952" t="str">
        <f t="shared" si="1"/>
        <v>～</v>
      </c>
      <c r="AG29" s="966">
        <f>MID(CONCATENATE('演算'!$M$233,'演算'!$M$500,'演算'!$M$779,'演算'!$M$1058,'演算'!$M$1337),5*A29+1,5)</f>
      </c>
      <c r="AH29" s="1104">
        <f t="shared" si="2"/>
      </c>
      <c r="AI29" s="1105"/>
      <c r="AJ29" s="953">
        <f>WIDECHAR(MID(CONCATENATE('演算'!$M$234,'演算'!$M$501,'演算'!$M$780,'演算'!$M$1059,'演算'!$M$1338),A29+1,1))</f>
      </c>
      <c r="AL29" s="184">
        <v>23</v>
      </c>
    </row>
    <row r="30" spans="1:38" ht="18" customHeight="1">
      <c r="A30" s="65">
        <v>77</v>
      </c>
      <c r="B30" s="1121">
        <f>WIDECHAR(MID(CONCATENATE('演算'!$Q$10,'演算'!$Q$242,'演算'!$Q$521,'演算'!$Q$800,'演算'!$Q$1079),'演算'!$L$10*A30+1,'演算'!$L$10))</f>
      </c>
      <c r="C30" s="1123"/>
      <c r="D30" s="961">
        <f>WIDECHAR(MID(CONCATENATE('演算'!$Q$18,'演算'!$Q$254,'演算'!$Q$533,'演算'!$Q$812,'演算'!$Q$1091),'演算'!$L$18*A30+1,'演算'!$L$18))</f>
      </c>
      <c r="E30" s="972"/>
      <c r="F30" s="972"/>
      <c r="G30" s="972"/>
      <c r="H30" s="973"/>
      <c r="I30" s="1121">
        <f>WIDECHAR(MID(CONCATENATE('演算'!$Q$25,'演算'!$Q$265,'演算'!$Q$544,'演算'!$Q$823,'演算'!$Q$1102),'演算'!$L$25*A30+1,'演算'!$L$25))</f>
      </c>
      <c r="J30" s="1122"/>
      <c r="K30" s="1122"/>
      <c r="L30" s="961">
        <f>WIDECHAR(MID(CONCATENATE('演算'!$M$229,'演算'!$M$496,'演算'!$M$775,'演算'!$M$1054,'演算'!$M$1333),'演算'!$L$32*A30+1,'演算'!$L$32))</f>
      </c>
      <c r="M30" s="967"/>
      <c r="N30" s="967"/>
      <c r="O30" s="972"/>
      <c r="P30" s="972"/>
      <c r="Q30" s="972"/>
      <c r="R30" s="972"/>
      <c r="S30" s="972"/>
      <c r="T30" s="972"/>
      <c r="U30" s="973"/>
      <c r="V30" s="961">
        <f>WIDECHAR(MID(CONCATENATE('演算'!$M$230,'演算'!$M$497,'演算'!$M$776,'演算'!$M$1055,'演算'!$M$1334),'演算'!$L$40*A30+1,'演算'!$L$40))</f>
      </c>
      <c r="W30" s="972"/>
      <c r="X30" s="973"/>
      <c r="Y30" s="1103">
        <f>WIDECHAR(MID(CONCATENATE('演算'!$M$231,'演算'!$M$498,'演算'!$M$777,'演算'!$M$1056,'演算'!$M$1335),'演算'!$L$49*A30+1,'演算'!$L$49))</f>
      </c>
      <c r="Z30" s="1104"/>
      <c r="AA30" s="1105"/>
      <c r="AB30" s="964">
        <f>MID(CONCATENATE('演算'!$M$232,'演算'!$M$499,'演算'!$M$778,'演算'!$M$1057,'演算'!$M$1336,REPT("　",130)),5*A30+1,5)</f>
      </c>
      <c r="AC30" s="969"/>
      <c r="AD30" s="1103">
        <f t="shared" si="0"/>
      </c>
      <c r="AE30" s="1104"/>
      <c r="AF30" s="952" t="str">
        <f t="shared" si="1"/>
        <v>～</v>
      </c>
      <c r="AG30" s="966">
        <f>MID(CONCATENATE('演算'!$M$233,'演算'!$M$500,'演算'!$M$779,'演算'!$M$1058,'演算'!$M$1337),5*A30+1,5)</f>
      </c>
      <c r="AH30" s="1104">
        <f t="shared" si="2"/>
      </c>
      <c r="AI30" s="1105"/>
      <c r="AJ30" s="953">
        <f>WIDECHAR(MID(CONCATENATE('演算'!$M$234,'演算'!$M$501,'演算'!$M$780,'演算'!$M$1059,'演算'!$M$1338),A30+1,1))</f>
      </c>
      <c r="AL30" s="184">
        <v>24</v>
      </c>
    </row>
    <row r="31" spans="1:38" ht="18" customHeight="1">
      <c r="A31" s="65">
        <v>78</v>
      </c>
      <c r="B31" s="1121">
        <f>WIDECHAR(MID(CONCATENATE('演算'!$Q$10,'演算'!$Q$242,'演算'!$Q$521,'演算'!$Q$800,'演算'!$Q$1079),'演算'!$L$10*A31+1,'演算'!$L$10))</f>
      </c>
      <c r="C31" s="1123"/>
      <c r="D31" s="961">
        <f>WIDECHAR(MID(CONCATENATE('演算'!$Q$18,'演算'!$Q$254,'演算'!$Q$533,'演算'!$Q$812,'演算'!$Q$1091),'演算'!$L$18*A31+1,'演算'!$L$18))</f>
      </c>
      <c r="E31" s="974"/>
      <c r="F31" s="974"/>
      <c r="G31" s="974"/>
      <c r="H31" s="975"/>
      <c r="I31" s="1121">
        <f>WIDECHAR(MID(CONCATENATE('演算'!$Q$25,'演算'!$Q$265,'演算'!$Q$544,'演算'!$Q$823,'演算'!$Q$1102),'演算'!$L$25*A31+1,'演算'!$L$25))</f>
      </c>
      <c r="J31" s="1122"/>
      <c r="K31" s="1122"/>
      <c r="L31" s="961">
        <f>WIDECHAR(MID(CONCATENATE('演算'!$M$229,'演算'!$M$496,'演算'!$M$775,'演算'!$M$1054,'演算'!$M$1333),'演算'!$L$32*A31+1,'演算'!$L$32))</f>
      </c>
      <c r="M31" s="967"/>
      <c r="N31" s="967"/>
      <c r="O31" s="974"/>
      <c r="P31" s="974"/>
      <c r="Q31" s="974"/>
      <c r="R31" s="974"/>
      <c r="S31" s="974"/>
      <c r="T31" s="974"/>
      <c r="U31" s="975"/>
      <c r="V31" s="961">
        <f>WIDECHAR(MID(CONCATENATE('演算'!$M$230,'演算'!$M$497,'演算'!$M$776,'演算'!$M$1055,'演算'!$M$1334),'演算'!$L$40*A31+1,'演算'!$L$40))</f>
      </c>
      <c r="W31" s="974"/>
      <c r="X31" s="975"/>
      <c r="Y31" s="1103">
        <f>WIDECHAR(MID(CONCATENATE('演算'!$M$231,'演算'!$M$498,'演算'!$M$777,'演算'!$M$1056,'演算'!$M$1335),'演算'!$L$49*A31+1,'演算'!$L$49))</f>
      </c>
      <c r="Z31" s="1104"/>
      <c r="AA31" s="1105"/>
      <c r="AB31" s="964">
        <f>MID(CONCATENATE('演算'!$M$232,'演算'!$M$499,'演算'!$M$778,'演算'!$M$1057,'演算'!$M$1336,REPT("　",130)),5*A31+1,5)</f>
      </c>
      <c r="AC31" s="969"/>
      <c r="AD31" s="1103">
        <f t="shared" si="0"/>
      </c>
      <c r="AE31" s="1104"/>
      <c r="AF31" s="952" t="str">
        <f t="shared" si="1"/>
        <v>～</v>
      </c>
      <c r="AG31" s="966">
        <f>MID(CONCATENATE('演算'!$M$233,'演算'!$M$500,'演算'!$M$779,'演算'!$M$1058,'演算'!$M$1337),5*A31+1,5)</f>
      </c>
      <c r="AH31" s="1104">
        <f t="shared" si="2"/>
      </c>
      <c r="AI31" s="1105"/>
      <c r="AJ31" s="953">
        <f>WIDECHAR(MID(CONCATENATE('演算'!$M$234,'演算'!$M$501,'演算'!$M$780,'演算'!$M$1059,'演算'!$M$1338),A31+1,1))</f>
      </c>
      <c r="AL31" s="184">
        <v>25</v>
      </c>
    </row>
    <row r="32" spans="1:38" ht="18" customHeight="1">
      <c r="A32" s="65">
        <v>79</v>
      </c>
      <c r="B32" s="1121">
        <f>WIDECHAR(MID(CONCATENATE('演算'!$Q$10,'演算'!$Q$242,'演算'!$Q$521,'演算'!$Q$800,'演算'!$Q$1079),'演算'!$L$10*A32+1,'演算'!$L$10))</f>
      </c>
      <c r="C32" s="1123"/>
      <c r="D32" s="961">
        <f>WIDECHAR(MID(CONCATENATE('演算'!$Q$18,'演算'!$Q$254,'演算'!$Q$533,'演算'!$Q$812,'演算'!$Q$1091),'演算'!$L$18*A32+1,'演算'!$L$18))</f>
      </c>
      <c r="E32" s="974"/>
      <c r="F32" s="974"/>
      <c r="G32" s="974"/>
      <c r="H32" s="975"/>
      <c r="I32" s="1121">
        <f>WIDECHAR(MID(CONCATENATE('演算'!$Q$25,'演算'!$Q$265,'演算'!$Q$544,'演算'!$Q$823,'演算'!$Q$1102),'演算'!$L$25*A32+1,'演算'!$L$25))</f>
      </c>
      <c r="J32" s="1122"/>
      <c r="K32" s="1122"/>
      <c r="L32" s="961">
        <f>WIDECHAR(MID(CONCATENATE('演算'!$M$229,'演算'!$M$496,'演算'!$M$775,'演算'!$M$1054,'演算'!$M$1333),'演算'!$L$32*A32+1,'演算'!$L$32))</f>
      </c>
      <c r="M32" s="967"/>
      <c r="N32" s="967"/>
      <c r="O32" s="974"/>
      <c r="P32" s="974"/>
      <c r="Q32" s="974"/>
      <c r="R32" s="974"/>
      <c r="S32" s="974"/>
      <c r="T32" s="974"/>
      <c r="U32" s="975"/>
      <c r="V32" s="961">
        <f>WIDECHAR(MID(CONCATENATE('演算'!$M$230,'演算'!$M$497,'演算'!$M$776,'演算'!$M$1055,'演算'!$M$1334),'演算'!$L$40*A32+1,'演算'!$L$40))</f>
      </c>
      <c r="W32" s="974"/>
      <c r="X32" s="975"/>
      <c r="Y32" s="1103">
        <f>WIDECHAR(MID(CONCATENATE('演算'!$M$231,'演算'!$M$498,'演算'!$M$777,'演算'!$M$1056,'演算'!$M$1335),'演算'!$L$49*A32+1,'演算'!$L$49))</f>
      </c>
      <c r="Z32" s="1104"/>
      <c r="AA32" s="1105"/>
      <c r="AB32" s="964">
        <f>MID(CONCATENATE('演算'!$M$232,'演算'!$M$499,'演算'!$M$778,'演算'!$M$1057,'演算'!$M$1336,REPT("　",130)),5*A32+1,5)</f>
      </c>
      <c r="AC32" s="969"/>
      <c r="AD32" s="1103">
        <f t="shared" si="0"/>
      </c>
      <c r="AE32" s="1104"/>
      <c r="AF32" s="952" t="str">
        <f t="shared" si="1"/>
        <v>～</v>
      </c>
      <c r="AG32" s="966">
        <f>MID(CONCATENATE('演算'!$M$233,'演算'!$M$500,'演算'!$M$779,'演算'!$M$1058,'演算'!$M$1337),5*A32+1,5)</f>
      </c>
      <c r="AH32" s="1104">
        <f t="shared" si="2"/>
      </c>
      <c r="AI32" s="1105"/>
      <c r="AJ32" s="953">
        <f>WIDECHAR(MID(CONCATENATE('演算'!$M$234,'演算'!$M$501,'演算'!$M$780,'演算'!$M$1059,'演算'!$M$1338),A32+1,1))</f>
      </c>
      <c r="AL32" s="184">
        <v>26</v>
      </c>
    </row>
    <row r="33" spans="1:38" ht="18" customHeight="1">
      <c r="A33" s="65">
        <v>80</v>
      </c>
      <c r="B33" s="1121">
        <f>WIDECHAR(MID(CONCATENATE('演算'!$Q$10,'演算'!$Q$242,'演算'!$Q$521,'演算'!$Q$800,'演算'!$Q$1079),'演算'!$L$10*A33+1,'演算'!$L$10))</f>
      </c>
      <c r="C33" s="1123"/>
      <c r="D33" s="961">
        <f>WIDECHAR(MID(CONCATENATE('演算'!$Q$18,'演算'!$Q$254,'演算'!$Q$533,'演算'!$Q$812,'演算'!$Q$1091),'演算'!$L$18*A33+1,'演算'!$L$18))</f>
      </c>
      <c r="E33" s="976"/>
      <c r="F33" s="976"/>
      <c r="G33" s="976"/>
      <c r="H33" s="1000"/>
      <c r="I33" s="1121">
        <f>WIDECHAR(MID(CONCATENATE('演算'!$Q$25,'演算'!$Q$265,'演算'!$Q$544,'演算'!$Q$823,'演算'!$Q$1102),'演算'!$L$25*A33+1,'演算'!$L$25))</f>
      </c>
      <c r="J33" s="1122"/>
      <c r="K33" s="1122"/>
      <c r="L33" s="961">
        <f>WIDECHAR(MID(CONCATENATE('演算'!$M$229,'演算'!$M$496,'演算'!$M$775,'演算'!$M$1054,'演算'!$M$1333),'演算'!$L$32*A33+1,'演算'!$L$32))</f>
      </c>
      <c r="M33" s="970"/>
      <c r="N33" s="970"/>
      <c r="O33" s="976"/>
      <c r="P33" s="976"/>
      <c r="Q33" s="976"/>
      <c r="R33" s="976"/>
      <c r="S33" s="976"/>
      <c r="T33" s="976"/>
      <c r="U33" s="977"/>
      <c r="V33" s="961">
        <f>WIDECHAR(MID(CONCATENATE('演算'!$M$230,'演算'!$M$497,'演算'!$M$776,'演算'!$M$1055,'演算'!$M$1334),'演算'!$L$40*A33+1,'演算'!$L$40))</f>
      </c>
      <c r="W33" s="976"/>
      <c r="X33" s="977"/>
      <c r="Y33" s="1103">
        <f>WIDECHAR(MID(CONCATENATE('演算'!$M$231,'演算'!$M$498,'演算'!$M$777,'演算'!$M$1056,'演算'!$M$1335),'演算'!$L$49*A33+1,'演算'!$L$49))</f>
      </c>
      <c r="Z33" s="1104"/>
      <c r="AA33" s="1105"/>
      <c r="AB33" s="964">
        <f>MID(CONCATENATE('演算'!$M$232,'演算'!$M$499,'演算'!$M$778,'演算'!$M$1057,'演算'!$M$1336,REPT("　",130)),5*A33+1,5)</f>
      </c>
      <c r="AC33" s="978"/>
      <c r="AD33" s="1106">
        <f>ASC(AB33)</f>
      </c>
      <c r="AE33" s="1107"/>
      <c r="AF33" s="979" t="str">
        <f>IF(AB33=0,"　",IF(AB33=REPT("　",5)," ","～"))</f>
        <v>～</v>
      </c>
      <c r="AG33" s="966">
        <f>MID(CONCATENATE('演算'!$M$233,'演算'!$M$500,'演算'!$M$779,'演算'!$M$1058,'演算'!$M$1337),5*A33+1,5)</f>
      </c>
      <c r="AH33" s="1107">
        <f>ASC(AG33)</f>
      </c>
      <c r="AI33" s="1098"/>
      <c r="AJ33" s="953">
        <f>WIDECHAR(MID(CONCATENATE('演算'!$M$234,'演算'!$M$501,'演算'!$M$780,'演算'!$M$1059,'演算'!$M$1338),A33+1,1))</f>
      </c>
      <c r="AL33" s="184">
        <v>27</v>
      </c>
    </row>
    <row r="34" spans="1:36" ht="6" customHeight="1">
      <c r="A34" s="180"/>
      <c r="B34" s="803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803"/>
      <c r="AB34" s="980"/>
      <c r="AC34" s="948"/>
      <c r="AD34" s="948"/>
      <c r="AE34" s="948"/>
      <c r="AF34" s="948"/>
      <c r="AG34" s="948"/>
      <c r="AH34" s="948"/>
      <c r="AI34" s="948"/>
      <c r="AJ34" s="803"/>
    </row>
    <row r="35" spans="2:36" ht="15" customHeight="1">
      <c r="B35" s="981"/>
      <c r="C35" s="981"/>
      <c r="D35" s="981"/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1"/>
      <c r="P35" s="981"/>
      <c r="Q35" s="981"/>
      <c r="R35" s="981"/>
      <c r="S35" s="981"/>
      <c r="T35" s="981"/>
      <c r="U35" s="981"/>
      <c r="V35" s="981"/>
      <c r="W35" s="814"/>
      <c r="X35" s="1108" t="s">
        <v>319</v>
      </c>
      <c r="Y35" s="1108"/>
      <c r="Z35" s="1108">
        <f>IF('記入シート'!R16=0,"",WIDECHAR('記入シート'!R16))</f>
      </c>
      <c r="AA35" s="1108"/>
      <c r="AB35" s="958" t="s">
        <v>405</v>
      </c>
      <c r="AC35" s="958" t="s">
        <v>405</v>
      </c>
      <c r="AD35" s="958" t="s">
        <v>405</v>
      </c>
      <c r="AE35" s="982">
        <f>IF('記入シート'!V16=0,"",WIDECHAR('記入シート'!V16))</f>
      </c>
      <c r="AF35" s="949" t="s">
        <v>406</v>
      </c>
      <c r="AG35" s="949"/>
      <c r="AH35" s="949">
        <f>IF('記入シート'!Y16=0,"",WIDECHAR('記入シート'!Y16))</f>
      </c>
      <c r="AI35" s="949" t="s">
        <v>409</v>
      </c>
      <c r="AJ35" s="981"/>
    </row>
  </sheetData>
  <sheetProtection sheet="1" objects="1" scenarios="1" selectLockedCells="1" selectUnlockedCells="1"/>
  <mergeCells count="154">
    <mergeCell ref="Z1:AA1"/>
    <mergeCell ref="D1:U1"/>
    <mergeCell ref="I32:K32"/>
    <mergeCell ref="I33:K33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3:K13"/>
    <mergeCell ref="I14:K14"/>
    <mergeCell ref="U3:Y3"/>
    <mergeCell ref="K3:L3"/>
    <mergeCell ref="I9:K9"/>
    <mergeCell ref="I10:K10"/>
    <mergeCell ref="I11:K11"/>
    <mergeCell ref="I12:K12"/>
    <mergeCell ref="Y14:AA14"/>
    <mergeCell ref="Y7:AA7"/>
    <mergeCell ref="X35:Y35"/>
    <mergeCell ref="Z35:AA3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22:AA22"/>
    <mergeCell ref="Y23:AA23"/>
    <mergeCell ref="Y24:AA24"/>
    <mergeCell ref="Y25:AA25"/>
    <mergeCell ref="Y18:AA18"/>
    <mergeCell ref="Y19:AA19"/>
    <mergeCell ref="Y20:AA20"/>
    <mergeCell ref="Y21:AA21"/>
    <mergeCell ref="Y16:AA16"/>
    <mergeCell ref="Y17:AA17"/>
    <mergeCell ref="Y10:AA10"/>
    <mergeCell ref="Y11:AA11"/>
    <mergeCell ref="Y12:AA12"/>
    <mergeCell ref="Y13:AA13"/>
    <mergeCell ref="Y8:AA8"/>
    <mergeCell ref="Y9:AA9"/>
    <mergeCell ref="AD33:AE33"/>
    <mergeCell ref="AD29:AE29"/>
    <mergeCell ref="AD25:AE25"/>
    <mergeCell ref="AD21:AE21"/>
    <mergeCell ref="AD17:AE17"/>
    <mergeCell ref="AD13:AE13"/>
    <mergeCell ref="AD9:AE9"/>
    <mergeCell ref="Y15:AA15"/>
    <mergeCell ref="AH33:AI33"/>
    <mergeCell ref="AD31:AE31"/>
    <mergeCell ref="AH31:AI31"/>
    <mergeCell ref="AD32:AE32"/>
    <mergeCell ref="AH32:AI32"/>
    <mergeCell ref="AH29:AI29"/>
    <mergeCell ref="AD30:AE30"/>
    <mergeCell ref="AH30:AI30"/>
    <mergeCell ref="AD27:AE27"/>
    <mergeCell ref="AH27:AI27"/>
    <mergeCell ref="AD28:AE28"/>
    <mergeCell ref="AH28:AI28"/>
    <mergeCell ref="AH25:AI25"/>
    <mergeCell ref="AD26:AE26"/>
    <mergeCell ref="AH26:AI26"/>
    <mergeCell ref="AD23:AE23"/>
    <mergeCell ref="AH23:AI23"/>
    <mergeCell ref="AD24:AE24"/>
    <mergeCell ref="AH24:AI24"/>
    <mergeCell ref="AH21:AI21"/>
    <mergeCell ref="AD22:AE22"/>
    <mergeCell ref="AH22:AI22"/>
    <mergeCell ref="AD19:AE19"/>
    <mergeCell ref="AH19:AI19"/>
    <mergeCell ref="AD20:AE20"/>
    <mergeCell ref="AH20:AI20"/>
    <mergeCell ref="AH17:AI17"/>
    <mergeCell ref="AD18:AE18"/>
    <mergeCell ref="AH18:AI18"/>
    <mergeCell ref="AD15:AE15"/>
    <mergeCell ref="AH15:AI15"/>
    <mergeCell ref="AD16:AE16"/>
    <mergeCell ref="AH16:AI16"/>
    <mergeCell ref="AH13:AI13"/>
    <mergeCell ref="AD14:AE14"/>
    <mergeCell ref="AH14:AI14"/>
    <mergeCell ref="AD11:AE11"/>
    <mergeCell ref="AH11:AI11"/>
    <mergeCell ref="AD12:AE12"/>
    <mergeCell ref="AH12:AI12"/>
    <mergeCell ref="AH9:AI9"/>
    <mergeCell ref="AD10:AE10"/>
    <mergeCell ref="AH10:AI10"/>
    <mergeCell ref="AD7:AE7"/>
    <mergeCell ref="AH7:AI7"/>
    <mergeCell ref="AD8:AE8"/>
    <mergeCell ref="AH8:AI8"/>
    <mergeCell ref="B13:C13"/>
    <mergeCell ref="B12:C12"/>
    <mergeCell ref="B11:C11"/>
    <mergeCell ref="B10:C10"/>
    <mergeCell ref="B9:C9"/>
    <mergeCell ref="B6:C6"/>
    <mergeCell ref="D5:K5"/>
    <mergeCell ref="B5:C5"/>
    <mergeCell ref="B7:C7"/>
    <mergeCell ref="B8:C8"/>
    <mergeCell ref="I7:K7"/>
    <mergeCell ref="I8:K8"/>
    <mergeCell ref="B17:C17"/>
    <mergeCell ref="B16:C16"/>
    <mergeCell ref="B15:C15"/>
    <mergeCell ref="B14:C14"/>
    <mergeCell ref="B21:C21"/>
    <mergeCell ref="B20:C20"/>
    <mergeCell ref="B19:C19"/>
    <mergeCell ref="B18:C18"/>
    <mergeCell ref="B26:C26"/>
    <mergeCell ref="B27:C27"/>
    <mergeCell ref="B28:C28"/>
    <mergeCell ref="B22:C22"/>
    <mergeCell ref="B23:C23"/>
    <mergeCell ref="B24:C24"/>
    <mergeCell ref="B25:C25"/>
    <mergeCell ref="B4:AJ4"/>
    <mergeCell ref="C3:D3"/>
    <mergeCell ref="H3:I3"/>
    <mergeCell ref="L6:U6"/>
    <mergeCell ref="I6:K6"/>
    <mergeCell ref="D6:H6"/>
    <mergeCell ref="Y6:AA6"/>
    <mergeCell ref="B33:C33"/>
    <mergeCell ref="B29:C29"/>
    <mergeCell ref="B30:C30"/>
    <mergeCell ref="B31:C31"/>
    <mergeCell ref="B32:C32"/>
    <mergeCell ref="L5:AJ5"/>
    <mergeCell ref="V6:X6"/>
    <mergeCell ref="AB6:AI6"/>
    <mergeCell ref="I15:K15"/>
  </mergeCells>
  <printOptions horizontalCentered="1"/>
  <pageMargins left="0" right="0" top="0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B1">
      <selection activeCell="D1" sqref="D1:U1"/>
    </sheetView>
  </sheetViews>
  <sheetFormatPr defaultColWidth="9.00390625" defaultRowHeight="13.5"/>
  <cols>
    <col min="1" max="1" width="4.625" style="0" hidden="1" customWidth="1"/>
    <col min="2" max="2" width="6.625" style="0" customWidth="1"/>
    <col min="3" max="3" width="15.75390625" style="0" customWidth="1"/>
    <col min="4" max="4" width="4.375" style="0" customWidth="1"/>
    <col min="5" max="6" width="2.50390625" style="0" customWidth="1"/>
    <col min="7" max="7" width="6.25390625" style="0" customWidth="1"/>
    <col min="8" max="8" width="3.125" style="0" customWidth="1"/>
    <col min="9" max="9" width="15.625" style="0" customWidth="1"/>
    <col min="10" max="10" width="2.50390625" style="0" customWidth="1"/>
    <col min="11" max="11" width="0.6171875" style="0" customWidth="1"/>
    <col min="12" max="12" width="5.75390625" style="0" customWidth="1"/>
    <col min="13" max="13" width="5.125" style="0" customWidth="1"/>
    <col min="14" max="14" width="2.875" style="0" customWidth="1"/>
    <col min="15" max="15" width="3.125" style="0" customWidth="1"/>
    <col min="16" max="16" width="2.375" style="0" customWidth="1"/>
    <col min="17" max="17" width="3.125" style="0" customWidth="1"/>
    <col min="18" max="19" width="2.50390625" style="0" customWidth="1"/>
    <col min="20" max="20" width="6.50390625" style="0" customWidth="1"/>
    <col min="21" max="21" width="2.25390625" style="0" customWidth="1"/>
    <col min="22" max="22" width="5.00390625" style="0" customWidth="1"/>
    <col min="23" max="23" width="4.50390625" style="0" customWidth="1"/>
    <col min="24" max="24" width="2.125" style="0" customWidth="1"/>
    <col min="25" max="25" width="6.125" style="0" customWidth="1"/>
    <col min="26" max="26" width="2.50390625" style="0" customWidth="1"/>
    <col min="27" max="27" width="3.125" style="0" customWidth="1"/>
    <col min="28" max="28" width="4.625" style="207" hidden="1" customWidth="1"/>
    <col min="29" max="29" width="4.625" style="1" hidden="1" customWidth="1"/>
    <col min="30" max="31" width="3.50390625" style="265" customWidth="1"/>
    <col min="32" max="32" width="3.625" style="1" customWidth="1"/>
    <col min="33" max="33" width="9.625" style="1" hidden="1" customWidth="1"/>
    <col min="34" max="35" width="3.625" style="190" customWidth="1"/>
    <col min="36" max="36" width="6.25390625" style="0" customWidth="1"/>
    <col min="37" max="37" width="1.25" style="0" customWidth="1"/>
    <col min="38" max="38" width="2.625" style="0" hidden="1" customWidth="1"/>
    <col min="39" max="39" width="0.6171875" style="0" customWidth="1"/>
  </cols>
  <sheetData>
    <row r="1" spans="2:36" ht="18.75" customHeight="1">
      <c r="B1" s="955" t="s">
        <v>390</v>
      </c>
      <c r="C1" s="956">
        <v>-4</v>
      </c>
      <c r="D1" s="1116" t="s">
        <v>391</v>
      </c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957"/>
      <c r="W1" s="957"/>
      <c r="X1" s="957"/>
      <c r="Y1" s="996" t="s">
        <v>499</v>
      </c>
      <c r="Z1" s="1100">
        <f>IF('記入シート'!C9="","",WIDECHAR('記入シート'!C9))</f>
      </c>
      <c r="AA1" s="1100"/>
      <c r="AB1" s="996"/>
      <c r="AC1" s="996"/>
      <c r="AD1" s="996" t="s">
        <v>405</v>
      </c>
      <c r="AE1" s="996">
        <f>IF('記入シート'!E9="","",WIDECHAR('記入シート'!E9))</f>
      </c>
      <c r="AF1" s="996" t="s">
        <v>406</v>
      </c>
      <c r="AG1" s="996"/>
      <c r="AH1" s="996">
        <f>IF('記入シート'!H9="","",WIDECHAR('記入シート'!H9))</f>
      </c>
      <c r="AI1" s="996" t="s">
        <v>500</v>
      </c>
      <c r="AJ1" s="957"/>
    </row>
    <row r="2" spans="2:36" ht="11.25" customHeigh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 t="s">
        <v>72</v>
      </c>
      <c r="AB2" s="814"/>
      <c r="AC2" s="814"/>
      <c r="AD2" s="814"/>
      <c r="AE2" s="814"/>
      <c r="AF2" s="814"/>
      <c r="AG2" s="814"/>
      <c r="AH2" s="814"/>
      <c r="AI2" s="814"/>
      <c r="AJ2" s="814"/>
    </row>
    <row r="3" spans="2:36" ht="15" customHeight="1">
      <c r="B3" s="958" t="s">
        <v>392</v>
      </c>
      <c r="C3" s="1109" t="str">
        <f>IF('記入シート'!C6=0," ",IF(LEN('記入シート'!C6)&gt;10,"※　文字数過多　※",WIDECHAR(LEFT('記入シート'!C6,10))))</f>
        <v> </v>
      </c>
      <c r="D3" s="1109"/>
      <c r="E3" s="950" t="s">
        <v>393</v>
      </c>
      <c r="F3" s="959"/>
      <c r="G3" s="949" t="s">
        <v>401</v>
      </c>
      <c r="H3" s="1109" t="str">
        <f>IF('記入シート'!C13=0," ",IF(LEN('記入シート'!C13)&gt;10,"※　文字数過多　※",WIDECHAR(LEFT('記入シート'!C13,10))))</f>
        <v> </v>
      </c>
      <c r="I3" s="1109"/>
      <c r="J3" s="959"/>
      <c r="K3" s="1100" t="s">
        <v>407</v>
      </c>
      <c r="L3" s="1100"/>
      <c r="M3" s="996">
        <f>IF('記入シート'!$C$16="","",WIDECHAR('記入シート'!$C$16))</f>
      </c>
      <c r="N3" s="996" t="s">
        <v>405</v>
      </c>
      <c r="O3" s="996">
        <f>IF('記入シート'!$E$16="","",WIDECHAR('記入シート'!$E$16))</f>
      </c>
      <c r="P3" s="1003" t="s">
        <v>406</v>
      </c>
      <c r="Q3" s="1001">
        <f>IF('記入シート'!H16="","",WIDECHAR('記入シート'!H16))</f>
      </c>
      <c r="R3" s="997" t="s">
        <v>409</v>
      </c>
      <c r="T3" s="954" t="s">
        <v>410</v>
      </c>
      <c r="U3" s="1109" t="str">
        <f>IF('記入シート'!C20=0," ",IF(LEN('記入シート'!C20)&gt;10,"※　文字数過多　※",WIDECHAR(LEFT('記入シート'!C20,10))))</f>
        <v> </v>
      </c>
      <c r="V3" s="1109"/>
      <c r="W3" s="1109"/>
      <c r="X3" s="1109"/>
      <c r="Y3" s="1109"/>
      <c r="Z3" s="814"/>
      <c r="AA3" s="982" t="s">
        <v>71</v>
      </c>
      <c r="AB3" s="982"/>
      <c r="AC3" s="982"/>
      <c r="AD3" s="982"/>
      <c r="AE3" s="982"/>
      <c r="AF3" s="982"/>
      <c r="AG3" s="982"/>
      <c r="AH3" s="982"/>
      <c r="AI3" s="982"/>
      <c r="AJ3" s="982"/>
    </row>
    <row r="4" spans="2:36" ht="6" customHeight="1"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8"/>
      <c r="AE4" s="1108"/>
      <c r="AF4" s="1108"/>
      <c r="AG4" s="1108"/>
      <c r="AH4" s="1108"/>
      <c r="AI4" s="1108"/>
      <c r="AJ4" s="1108"/>
    </row>
    <row r="5" spans="2:36" ht="17.25" customHeight="1">
      <c r="B5" s="1119" t="s">
        <v>394</v>
      </c>
      <c r="C5" s="1120"/>
      <c r="D5" s="1110" t="s">
        <v>395</v>
      </c>
      <c r="E5" s="1111"/>
      <c r="F5" s="1111"/>
      <c r="G5" s="1111"/>
      <c r="H5" s="1111"/>
      <c r="I5" s="1111"/>
      <c r="J5" s="1111"/>
      <c r="K5" s="1111"/>
      <c r="L5" s="1110" t="s">
        <v>396</v>
      </c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111"/>
      <c r="AE5" s="1111"/>
      <c r="AF5" s="1111"/>
      <c r="AG5" s="1111"/>
      <c r="AH5" s="1111"/>
      <c r="AI5" s="1111"/>
      <c r="AJ5" s="1112"/>
    </row>
    <row r="6" spans="2:36" ht="17.25" customHeight="1">
      <c r="B6" s="1113" t="s">
        <v>397</v>
      </c>
      <c r="C6" s="1114"/>
      <c r="D6" s="1110" t="s">
        <v>398</v>
      </c>
      <c r="E6" s="1111"/>
      <c r="F6" s="1111"/>
      <c r="G6" s="1111"/>
      <c r="H6" s="1112"/>
      <c r="I6" s="1110" t="s">
        <v>399</v>
      </c>
      <c r="J6" s="1111"/>
      <c r="K6" s="1111"/>
      <c r="L6" s="1110" t="s">
        <v>400</v>
      </c>
      <c r="M6" s="1111"/>
      <c r="N6" s="1111"/>
      <c r="O6" s="1111"/>
      <c r="P6" s="1111"/>
      <c r="Q6" s="1111"/>
      <c r="R6" s="1111"/>
      <c r="S6" s="1111"/>
      <c r="T6" s="1111"/>
      <c r="U6" s="1112"/>
      <c r="V6" s="1110" t="s">
        <v>401</v>
      </c>
      <c r="W6" s="1111"/>
      <c r="X6" s="1112"/>
      <c r="Y6" s="1110" t="s">
        <v>402</v>
      </c>
      <c r="Z6" s="1111"/>
      <c r="AA6" s="1112"/>
      <c r="AB6" s="1110" t="s">
        <v>403</v>
      </c>
      <c r="AC6" s="1111"/>
      <c r="AD6" s="1111"/>
      <c r="AE6" s="1111"/>
      <c r="AF6" s="1111"/>
      <c r="AG6" s="1111"/>
      <c r="AH6" s="1111"/>
      <c r="AI6" s="1112"/>
      <c r="AJ6" s="960" t="s">
        <v>404</v>
      </c>
    </row>
    <row r="7" spans="1:38" s="65" customFormat="1" ht="18" customHeight="1">
      <c r="A7" s="65">
        <v>81</v>
      </c>
      <c r="B7" s="1121">
        <f>WIDECHAR(MID(CONCATENATE('演算'!$Q$10,'演算'!$Q$242,'演算'!$Q$521,'演算'!$Q$800,'演算'!$Q$1079),'演算'!$L$10*A7+1,'演算'!$L$10))</f>
      </c>
      <c r="C7" s="1123"/>
      <c r="D7" s="961">
        <f>WIDECHAR(MID(CONCATENATE('演算'!$Q$18,'演算'!$Q$254,'演算'!$Q$533,'演算'!$Q$812,'演算'!$Q$1091),'演算'!$L$18*A7+1,'演算'!$L$18))</f>
      </c>
      <c r="E7" s="962"/>
      <c r="F7" s="962"/>
      <c r="G7" s="962"/>
      <c r="H7" s="999"/>
      <c r="I7" s="1121">
        <f>WIDECHAR(MID(CONCATENATE('演算'!$Q$25,'演算'!$Q$265,'演算'!$Q$544,'演算'!$Q$823,'演算'!$Q$1102),'演算'!$L$25*A7+1,'演算'!$L$25))</f>
      </c>
      <c r="J7" s="1122"/>
      <c r="K7" s="1122"/>
      <c r="L7" s="961">
        <f>WIDECHAR(MID(CONCATENATE('演算'!$M$229,'演算'!$M$496,'演算'!$M$775,'演算'!$M$1054,'演算'!$M$1333),'演算'!$L$32*A7+1,'演算'!$L$32))</f>
      </c>
      <c r="M7" s="998"/>
      <c r="N7" s="998"/>
      <c r="O7" s="962"/>
      <c r="P7" s="962"/>
      <c r="Q7" s="962"/>
      <c r="R7" s="962"/>
      <c r="S7" s="962"/>
      <c r="T7" s="962"/>
      <c r="U7" s="963"/>
      <c r="V7" s="961">
        <f>WIDECHAR(MID(CONCATENATE('演算'!$M$230,'演算'!$M$497,'演算'!$M$776,'演算'!$M$1055,'演算'!$M$1334),'演算'!$L$40*A7+1,'演算'!$L$40))</f>
      </c>
      <c r="W7" s="962"/>
      <c r="X7" s="963"/>
      <c r="Y7" s="1103">
        <f>WIDECHAR(MID(CONCATENATE('演算'!$M$231,'演算'!$M$498,'演算'!$M$777,'演算'!$M$1056,'演算'!$M$1335),'演算'!$L$49*A7+1,'演算'!$L$49))</f>
      </c>
      <c r="Z7" s="1104"/>
      <c r="AA7" s="1105"/>
      <c r="AB7" s="964">
        <f>MID(CONCATENATE('演算'!$M$232,'演算'!$M$499,'演算'!$M$778,'演算'!$M$1057,'演算'!$M$1336,REPT("　",130)),5*A7+1,5)</f>
      </c>
      <c r="AC7" s="965"/>
      <c r="AD7" s="1115">
        <f>ASC(AB7)</f>
      </c>
      <c r="AE7" s="1101"/>
      <c r="AF7" s="952" t="str">
        <f>IF(AB7=0,"　",IF(AB7="　　　　　"," ","～"))</f>
        <v>～</v>
      </c>
      <c r="AG7" s="966">
        <f>MID(CONCATENATE('演算'!$M$233,'演算'!$M$500,'演算'!$M$779,'演算'!$M$1058,'演算'!$M$1337),5*A7+1,5)</f>
      </c>
      <c r="AH7" s="1101">
        <f>ASC(AG7)</f>
      </c>
      <c r="AI7" s="1102"/>
      <c r="AJ7" s="953">
        <f>WIDECHAR(MID(CONCATENATE('演算'!$M$234,'演算'!$M$501,'演算'!$M$780,'演算'!$M$1059,'演算'!$M$1338),A7+1,1))</f>
      </c>
      <c r="AL7" s="184">
        <v>1</v>
      </c>
    </row>
    <row r="8" spans="1:38" s="65" customFormat="1" ht="18" customHeight="1">
      <c r="A8" s="65">
        <v>82</v>
      </c>
      <c r="B8" s="1121">
        <f>WIDECHAR(MID(CONCATENATE('演算'!$Q$10,'演算'!$Q$242,'演算'!$Q$521,'演算'!$Q$800,'演算'!$Q$1079),'演算'!$L$10*A8+1,'演算'!$L$10))</f>
      </c>
      <c r="C8" s="1123"/>
      <c r="D8" s="961">
        <f>WIDECHAR(MID(CONCATENATE('演算'!$Q$18,'演算'!$Q$254,'演算'!$Q$533,'演算'!$Q$812,'演算'!$Q$1091),'演算'!$L$18*A8+1,'演算'!$L$18))</f>
      </c>
      <c r="E8" s="967"/>
      <c r="F8" s="967"/>
      <c r="G8" s="967"/>
      <c r="H8" s="968"/>
      <c r="I8" s="1121">
        <f>WIDECHAR(MID(CONCATENATE('演算'!$Q$25,'演算'!$Q$265,'演算'!$Q$544,'演算'!$Q$823,'演算'!$Q$1102),'演算'!$L$25*A8+1,'演算'!$L$25))</f>
      </c>
      <c r="J8" s="1122"/>
      <c r="K8" s="1122"/>
      <c r="L8" s="961">
        <f>WIDECHAR(MID(CONCATENATE('演算'!$M$229,'演算'!$M$496,'演算'!$M$775,'演算'!$M$1054,'演算'!$M$1333),'演算'!$L$32*A8+1,'演算'!$L$32))</f>
      </c>
      <c r="M8" s="967"/>
      <c r="N8" s="967"/>
      <c r="O8" s="967"/>
      <c r="P8" s="967"/>
      <c r="Q8" s="967"/>
      <c r="R8" s="967"/>
      <c r="S8" s="967"/>
      <c r="T8" s="967"/>
      <c r="U8" s="968"/>
      <c r="V8" s="961">
        <f>WIDECHAR(MID(CONCATENATE('演算'!$M$230,'演算'!$M$497,'演算'!$M$776,'演算'!$M$1055,'演算'!$M$1334),'演算'!$L$40*A8+1,'演算'!$L$40))</f>
      </c>
      <c r="W8" s="967"/>
      <c r="X8" s="968"/>
      <c r="Y8" s="1103">
        <f>WIDECHAR(MID(CONCATENATE('演算'!$M$231,'演算'!$M$498,'演算'!$M$777,'演算'!$M$1056,'演算'!$M$1335),'演算'!$L$49*A8+1,'演算'!$L$49))</f>
      </c>
      <c r="Z8" s="1104"/>
      <c r="AA8" s="1105"/>
      <c r="AB8" s="964">
        <f>MID(CONCATENATE('演算'!$M$232,'演算'!$M$499,'演算'!$M$778,'演算'!$M$1057,'演算'!$M$1336,REPT("　",130)),5*A8+1,5)</f>
      </c>
      <c r="AC8" s="969"/>
      <c r="AD8" s="1103">
        <f>ASC(AB8)</f>
      </c>
      <c r="AE8" s="1104"/>
      <c r="AF8" s="952" t="str">
        <f>IF(AB8=0,"　",IF(AB8=REPT("　",5)," ","～"))</f>
        <v>～</v>
      </c>
      <c r="AG8" s="966">
        <f>MID(CONCATENATE('演算'!$M$233,'演算'!$M$500,'演算'!$M$779,'演算'!$M$1058,'演算'!$M$1337),5*A8+1,5)</f>
      </c>
      <c r="AH8" s="1104">
        <f>ASC(AG8)</f>
      </c>
      <c r="AI8" s="1105"/>
      <c r="AJ8" s="953">
        <f>WIDECHAR(MID(CONCATENATE('演算'!$M$234,'演算'!$M$501,'演算'!$M$780,'演算'!$M$1059,'演算'!$M$1338),A8+1,1))</f>
      </c>
      <c r="AL8" s="184">
        <v>2</v>
      </c>
    </row>
    <row r="9" spans="1:38" s="65" customFormat="1" ht="18" customHeight="1">
      <c r="A9" s="65">
        <v>83</v>
      </c>
      <c r="B9" s="1121">
        <f>WIDECHAR(MID(CONCATENATE('演算'!$Q$10,'演算'!$Q$242,'演算'!$Q$521,'演算'!$Q$800,'演算'!$Q$1079),'演算'!$L$10*A9+1,'演算'!$L$10))</f>
      </c>
      <c r="C9" s="1123"/>
      <c r="D9" s="961">
        <f>WIDECHAR(MID(CONCATENATE('演算'!$Q$18,'演算'!$Q$254,'演算'!$Q$533,'演算'!$Q$812,'演算'!$Q$1091),'演算'!$L$18*A9+1,'演算'!$L$18))</f>
      </c>
      <c r="E9" s="967"/>
      <c r="F9" s="967"/>
      <c r="G9" s="967"/>
      <c r="H9" s="968"/>
      <c r="I9" s="1121">
        <f>WIDECHAR(MID(CONCATENATE('演算'!$Q$25,'演算'!$Q$265,'演算'!$Q$544,'演算'!$Q$823,'演算'!$Q$1102),'演算'!$L$25*A9+1,'演算'!$L$25))</f>
      </c>
      <c r="J9" s="1122"/>
      <c r="K9" s="1122"/>
      <c r="L9" s="961">
        <f>WIDECHAR(MID(CONCATENATE('演算'!$M$229,'演算'!$M$496,'演算'!$M$775,'演算'!$M$1054,'演算'!$M$1333),'演算'!$L$32*A9+1,'演算'!$L$32))</f>
      </c>
      <c r="M9" s="967"/>
      <c r="N9" s="967"/>
      <c r="O9" s="967"/>
      <c r="P9" s="967"/>
      <c r="Q9" s="967"/>
      <c r="R9" s="967"/>
      <c r="S9" s="967"/>
      <c r="T9" s="967"/>
      <c r="U9" s="968"/>
      <c r="V9" s="961">
        <f>WIDECHAR(MID(CONCATENATE('演算'!$M$230,'演算'!$M$497,'演算'!$M$776,'演算'!$M$1055,'演算'!$M$1334),'演算'!$L$40*A9+1,'演算'!$L$40))</f>
      </c>
      <c r="W9" s="967"/>
      <c r="X9" s="968"/>
      <c r="Y9" s="1103">
        <f>WIDECHAR(MID(CONCATENATE('演算'!$M$231,'演算'!$M$498,'演算'!$M$777,'演算'!$M$1056,'演算'!$M$1335),'演算'!$L$49*A9+1,'演算'!$L$49))</f>
      </c>
      <c r="Z9" s="1104"/>
      <c r="AA9" s="1105"/>
      <c r="AB9" s="964">
        <f>MID(CONCATENATE('演算'!$M$232,'演算'!$M$499,'演算'!$M$778,'演算'!$M$1057,'演算'!$M$1336,REPT("　",130)),5*A9+1,5)</f>
      </c>
      <c r="AC9" s="969"/>
      <c r="AD9" s="1103">
        <f aca="true" t="shared" si="0" ref="AD9:AD32">ASC(AB9)</f>
      </c>
      <c r="AE9" s="1104"/>
      <c r="AF9" s="952" t="str">
        <f aca="true" t="shared" si="1" ref="AF9:AF32">IF(AB9=0,"　",IF(AB9=REPT("　",5)," ","～"))</f>
        <v>～</v>
      </c>
      <c r="AG9" s="966">
        <f>MID(CONCATENATE('演算'!$M$233,'演算'!$M$500,'演算'!$M$779,'演算'!$M$1058,'演算'!$M$1337),5*A9+1,5)</f>
      </c>
      <c r="AH9" s="1104">
        <f aca="true" t="shared" si="2" ref="AH9:AH32">ASC(AG9)</f>
      </c>
      <c r="AI9" s="1105"/>
      <c r="AJ9" s="953">
        <f>WIDECHAR(MID(CONCATENATE('演算'!$M$234,'演算'!$M$501,'演算'!$M$780,'演算'!$M$1059,'演算'!$M$1338),A9+1,1))</f>
      </c>
      <c r="AL9" s="184">
        <v>3</v>
      </c>
    </row>
    <row r="10" spans="1:38" s="65" customFormat="1" ht="18" customHeight="1">
      <c r="A10" s="65">
        <v>84</v>
      </c>
      <c r="B10" s="1121">
        <f>WIDECHAR(MID(CONCATENATE('演算'!$Q$10,'演算'!$Q$242,'演算'!$Q$521,'演算'!$Q$800,'演算'!$Q$1079),'演算'!$L$10*A10+1,'演算'!$L$10))</f>
      </c>
      <c r="C10" s="1123"/>
      <c r="D10" s="961">
        <f>WIDECHAR(MID(CONCATENATE('演算'!$Q$18,'演算'!$Q$254,'演算'!$Q$533,'演算'!$Q$812,'演算'!$Q$1091),'演算'!$L$18*A10+1,'演算'!$L$18))</f>
      </c>
      <c r="E10" s="967"/>
      <c r="F10" s="967"/>
      <c r="G10" s="967"/>
      <c r="H10" s="968"/>
      <c r="I10" s="1121">
        <f>WIDECHAR(MID(CONCATENATE('演算'!$Q$25,'演算'!$Q$265,'演算'!$Q$544,'演算'!$Q$823,'演算'!$Q$1102),'演算'!$L$25*A10+1,'演算'!$L$25))</f>
      </c>
      <c r="J10" s="1122"/>
      <c r="K10" s="1122"/>
      <c r="L10" s="961">
        <f>WIDECHAR(MID(CONCATENATE('演算'!$M$229,'演算'!$M$496,'演算'!$M$775,'演算'!$M$1054,'演算'!$M$1333),'演算'!$L$32*A10+1,'演算'!$L$32))</f>
      </c>
      <c r="M10" s="967"/>
      <c r="N10" s="967"/>
      <c r="O10" s="967"/>
      <c r="P10" s="967"/>
      <c r="Q10" s="967"/>
      <c r="R10" s="967"/>
      <c r="S10" s="967"/>
      <c r="T10" s="967"/>
      <c r="U10" s="968"/>
      <c r="V10" s="961">
        <f>WIDECHAR(MID(CONCATENATE('演算'!$M$230,'演算'!$M$497,'演算'!$M$776,'演算'!$M$1055,'演算'!$M$1334),'演算'!$L$40*A10+1,'演算'!$L$40))</f>
      </c>
      <c r="W10" s="967"/>
      <c r="X10" s="968"/>
      <c r="Y10" s="1103">
        <f>WIDECHAR(MID(CONCATENATE('演算'!$M$231,'演算'!$M$498,'演算'!$M$777,'演算'!$M$1056,'演算'!$M$1335),'演算'!$L$49*A10+1,'演算'!$L$49))</f>
      </c>
      <c r="Z10" s="1104"/>
      <c r="AA10" s="1105"/>
      <c r="AB10" s="964">
        <f>MID(CONCATENATE('演算'!$M$232,'演算'!$M$499,'演算'!$M$778,'演算'!$M$1057,'演算'!$M$1336,REPT("　",130)),5*A10+1,5)</f>
      </c>
      <c r="AC10" s="969"/>
      <c r="AD10" s="1103">
        <f t="shared" si="0"/>
      </c>
      <c r="AE10" s="1104"/>
      <c r="AF10" s="952" t="str">
        <f t="shared" si="1"/>
        <v>～</v>
      </c>
      <c r="AG10" s="966">
        <f>MID(CONCATENATE('演算'!$M$233,'演算'!$M$500,'演算'!$M$779,'演算'!$M$1058,'演算'!$M$1337),5*A10+1,5)</f>
      </c>
      <c r="AH10" s="1104">
        <f t="shared" si="2"/>
      </c>
      <c r="AI10" s="1105"/>
      <c r="AJ10" s="953">
        <f>WIDECHAR(MID(CONCATENATE('演算'!$M$234,'演算'!$M$501,'演算'!$M$780,'演算'!$M$1059,'演算'!$M$1338),A10+1,1))</f>
      </c>
      <c r="AL10" s="184">
        <v>4</v>
      </c>
    </row>
    <row r="11" spans="1:38" s="65" customFormat="1" ht="18" customHeight="1">
      <c r="A11" s="65">
        <v>85</v>
      </c>
      <c r="B11" s="1121">
        <f>WIDECHAR(MID(CONCATENATE('演算'!$Q$10,'演算'!$Q$242,'演算'!$Q$521,'演算'!$Q$800,'演算'!$Q$1079),'演算'!$L$10*A11+1,'演算'!$L$10))</f>
      </c>
      <c r="C11" s="1123"/>
      <c r="D11" s="961">
        <f>WIDECHAR(MID(CONCATENATE('演算'!$Q$18,'演算'!$Q$254,'演算'!$Q$533,'演算'!$Q$812,'演算'!$Q$1091),'演算'!$L$18*A11+1,'演算'!$L$18))</f>
      </c>
      <c r="E11" s="967"/>
      <c r="F11" s="967"/>
      <c r="G11" s="967"/>
      <c r="H11" s="968"/>
      <c r="I11" s="1121">
        <f>WIDECHAR(MID(CONCATENATE('演算'!$Q$25,'演算'!$Q$265,'演算'!$Q$544,'演算'!$Q$823,'演算'!$Q$1102),'演算'!$L$25*A11+1,'演算'!$L$25))</f>
      </c>
      <c r="J11" s="1122"/>
      <c r="K11" s="1122"/>
      <c r="L11" s="961">
        <f>WIDECHAR(MID(CONCATENATE('演算'!$M$229,'演算'!$M$496,'演算'!$M$775,'演算'!$M$1054,'演算'!$M$1333),'演算'!$L$32*A11+1,'演算'!$L$32))</f>
      </c>
      <c r="M11" s="967"/>
      <c r="N11" s="967"/>
      <c r="O11" s="967"/>
      <c r="P11" s="967"/>
      <c r="Q11" s="967"/>
      <c r="R11" s="967"/>
      <c r="S11" s="967"/>
      <c r="T11" s="967"/>
      <c r="U11" s="968"/>
      <c r="V11" s="961">
        <f>WIDECHAR(MID(CONCATENATE('演算'!$M$230,'演算'!$M$497,'演算'!$M$776,'演算'!$M$1055,'演算'!$M$1334),'演算'!$L$40*A11+1,'演算'!$L$40))</f>
      </c>
      <c r="W11" s="967"/>
      <c r="X11" s="968"/>
      <c r="Y11" s="1103">
        <f>WIDECHAR(MID(CONCATENATE('演算'!$M$231,'演算'!$M$498,'演算'!$M$777,'演算'!$M$1056,'演算'!$M$1335),'演算'!$L$49*A11+1,'演算'!$L$49))</f>
      </c>
      <c r="Z11" s="1104"/>
      <c r="AA11" s="1105"/>
      <c r="AB11" s="964">
        <f>MID(CONCATENATE('演算'!$M$232,'演算'!$M$499,'演算'!$M$778,'演算'!$M$1057,'演算'!$M$1336,REPT("　",130)),5*A11+1,5)</f>
      </c>
      <c r="AC11" s="969"/>
      <c r="AD11" s="1103">
        <f t="shared" si="0"/>
      </c>
      <c r="AE11" s="1104"/>
      <c r="AF11" s="952" t="str">
        <f t="shared" si="1"/>
        <v>～</v>
      </c>
      <c r="AG11" s="966">
        <f>MID(CONCATENATE('演算'!$M$233,'演算'!$M$500,'演算'!$M$779,'演算'!$M$1058,'演算'!$M$1337),5*A11+1,5)</f>
      </c>
      <c r="AH11" s="1104">
        <f t="shared" si="2"/>
      </c>
      <c r="AI11" s="1105"/>
      <c r="AJ11" s="953">
        <f>WIDECHAR(MID(CONCATENATE('演算'!$M$234,'演算'!$M$501,'演算'!$M$780,'演算'!$M$1059,'演算'!$M$1338),A11+1,1))</f>
      </c>
      <c r="AL11" s="184">
        <v>5</v>
      </c>
    </row>
    <row r="12" spans="1:38" s="65" customFormat="1" ht="18" customHeight="1">
      <c r="A12" s="65">
        <v>86</v>
      </c>
      <c r="B12" s="1121">
        <f>WIDECHAR(MID(CONCATENATE('演算'!$Q$10,'演算'!$Q$242,'演算'!$Q$521,'演算'!$Q$800,'演算'!$Q$1079),'演算'!$L$10*A12+1,'演算'!$L$10))</f>
      </c>
      <c r="C12" s="1123"/>
      <c r="D12" s="961">
        <f>WIDECHAR(MID(CONCATENATE('演算'!$Q$18,'演算'!$Q$254,'演算'!$Q$533,'演算'!$Q$812,'演算'!$Q$1091),'演算'!$L$18*A12+1,'演算'!$L$18))</f>
      </c>
      <c r="E12" s="967"/>
      <c r="F12" s="967"/>
      <c r="G12" s="967"/>
      <c r="H12" s="968"/>
      <c r="I12" s="1121">
        <f>WIDECHAR(MID(CONCATENATE('演算'!$Q$25,'演算'!$Q$265,'演算'!$Q$544,'演算'!$Q$823,'演算'!$Q$1102),'演算'!$L$25*A12+1,'演算'!$L$25))</f>
      </c>
      <c r="J12" s="1122"/>
      <c r="K12" s="1122"/>
      <c r="L12" s="961">
        <f>WIDECHAR(MID(CONCATENATE('演算'!$M$229,'演算'!$M$496,'演算'!$M$775,'演算'!$M$1054,'演算'!$M$1333),'演算'!$L$32*A12+1,'演算'!$L$32))</f>
      </c>
      <c r="M12" s="967"/>
      <c r="N12" s="967"/>
      <c r="O12" s="967"/>
      <c r="P12" s="967"/>
      <c r="Q12" s="967"/>
      <c r="R12" s="967"/>
      <c r="S12" s="967"/>
      <c r="T12" s="967"/>
      <c r="U12" s="968"/>
      <c r="V12" s="961">
        <f>WIDECHAR(MID(CONCATENATE('演算'!$M$230,'演算'!$M$497,'演算'!$M$776,'演算'!$M$1055,'演算'!$M$1334),'演算'!$L$40*A12+1,'演算'!$L$40))</f>
      </c>
      <c r="W12" s="967"/>
      <c r="X12" s="968"/>
      <c r="Y12" s="1103">
        <f>WIDECHAR(MID(CONCATENATE('演算'!$M$231,'演算'!$M$498,'演算'!$M$777,'演算'!$M$1056,'演算'!$M$1335),'演算'!$L$49*A12+1,'演算'!$L$49))</f>
      </c>
      <c r="Z12" s="1104"/>
      <c r="AA12" s="1105"/>
      <c r="AB12" s="964">
        <f>MID(CONCATENATE('演算'!$M$232,'演算'!$M$499,'演算'!$M$778,'演算'!$M$1057,'演算'!$M$1336,REPT("　",130)),5*A12+1,5)</f>
      </c>
      <c r="AC12" s="969"/>
      <c r="AD12" s="1103">
        <f t="shared" si="0"/>
      </c>
      <c r="AE12" s="1104"/>
      <c r="AF12" s="952" t="str">
        <f t="shared" si="1"/>
        <v>～</v>
      </c>
      <c r="AG12" s="966">
        <f>MID(CONCATENATE('演算'!$M$233,'演算'!$M$500,'演算'!$M$779,'演算'!$M$1058,'演算'!$M$1337),5*A12+1,5)</f>
      </c>
      <c r="AH12" s="1104">
        <f t="shared" si="2"/>
      </c>
      <c r="AI12" s="1105"/>
      <c r="AJ12" s="953">
        <f>WIDECHAR(MID(CONCATENATE('演算'!$M$234,'演算'!$M$501,'演算'!$M$780,'演算'!$M$1059,'演算'!$M$1338),A12+1,1))</f>
      </c>
      <c r="AL12" s="184">
        <v>6</v>
      </c>
    </row>
    <row r="13" spans="1:38" s="65" customFormat="1" ht="18" customHeight="1">
      <c r="A13" s="65">
        <v>87</v>
      </c>
      <c r="B13" s="1121">
        <f>WIDECHAR(MID(CONCATENATE('演算'!$Q$10,'演算'!$Q$242,'演算'!$Q$521,'演算'!$Q$800,'演算'!$Q$1079),'演算'!$L$10*A13+1,'演算'!$L$10))</f>
      </c>
      <c r="C13" s="1123"/>
      <c r="D13" s="961">
        <f>WIDECHAR(MID(CONCATENATE('演算'!$Q$18,'演算'!$Q$254,'演算'!$Q$533,'演算'!$Q$812,'演算'!$Q$1091),'演算'!$L$18*A13+1,'演算'!$L$18))</f>
      </c>
      <c r="E13" s="967"/>
      <c r="F13" s="967"/>
      <c r="G13" s="967"/>
      <c r="H13" s="968"/>
      <c r="I13" s="1121">
        <f>WIDECHAR(MID(CONCATENATE('演算'!$Q$25,'演算'!$Q$265,'演算'!$Q$544,'演算'!$Q$823,'演算'!$Q$1102),'演算'!$L$25*A13+1,'演算'!$L$25))</f>
      </c>
      <c r="J13" s="1122"/>
      <c r="K13" s="1122"/>
      <c r="L13" s="961">
        <f>WIDECHAR(MID(CONCATENATE('演算'!$M$229,'演算'!$M$496,'演算'!$M$775,'演算'!$M$1054,'演算'!$M$1333),'演算'!$L$32*A13+1,'演算'!$L$32))</f>
      </c>
      <c r="M13" s="967"/>
      <c r="N13" s="967"/>
      <c r="O13" s="967"/>
      <c r="P13" s="967"/>
      <c r="Q13" s="967"/>
      <c r="R13" s="967"/>
      <c r="S13" s="967"/>
      <c r="T13" s="967"/>
      <c r="U13" s="968"/>
      <c r="V13" s="961">
        <f>WIDECHAR(MID(CONCATENATE('演算'!$M$230,'演算'!$M$497,'演算'!$M$776,'演算'!$M$1055,'演算'!$M$1334),'演算'!$L$40*A13+1,'演算'!$L$40))</f>
      </c>
      <c r="W13" s="967"/>
      <c r="X13" s="968"/>
      <c r="Y13" s="1103">
        <f>WIDECHAR(MID(CONCATENATE('演算'!$M$231,'演算'!$M$498,'演算'!$M$777,'演算'!$M$1056,'演算'!$M$1335),'演算'!$L$49*A13+1,'演算'!$L$49))</f>
      </c>
      <c r="Z13" s="1104"/>
      <c r="AA13" s="1105"/>
      <c r="AB13" s="964">
        <f>MID(CONCATENATE('演算'!$M$232,'演算'!$M$499,'演算'!$M$778,'演算'!$M$1057,'演算'!$M$1336,REPT("　",130)),5*A13+1,5)</f>
      </c>
      <c r="AC13" s="969"/>
      <c r="AD13" s="1103">
        <f t="shared" si="0"/>
      </c>
      <c r="AE13" s="1104"/>
      <c r="AF13" s="952" t="str">
        <f t="shared" si="1"/>
        <v>～</v>
      </c>
      <c r="AG13" s="966">
        <f>MID(CONCATENATE('演算'!$M$233,'演算'!$M$500,'演算'!$M$779,'演算'!$M$1058,'演算'!$M$1337),5*A13+1,5)</f>
      </c>
      <c r="AH13" s="1104">
        <f t="shared" si="2"/>
      </c>
      <c r="AI13" s="1105"/>
      <c r="AJ13" s="953">
        <f>WIDECHAR(MID(CONCATENATE('演算'!$M$234,'演算'!$M$501,'演算'!$M$780,'演算'!$M$1059,'演算'!$M$1338),A13+1,1))</f>
      </c>
      <c r="AL13" s="184">
        <v>7</v>
      </c>
    </row>
    <row r="14" spans="1:38" s="65" customFormat="1" ht="18" customHeight="1">
      <c r="A14" s="65">
        <v>88</v>
      </c>
      <c r="B14" s="1121">
        <f>WIDECHAR(MID(CONCATENATE('演算'!$Q$10,'演算'!$Q$242,'演算'!$Q$521,'演算'!$Q$800,'演算'!$Q$1079),'演算'!$L$10*A14+1,'演算'!$L$10))</f>
      </c>
      <c r="C14" s="1123"/>
      <c r="D14" s="961">
        <f>WIDECHAR(MID(CONCATENATE('演算'!$Q$18,'演算'!$Q$254,'演算'!$Q$533,'演算'!$Q$812,'演算'!$Q$1091),'演算'!$L$18*A14+1,'演算'!$L$18))</f>
      </c>
      <c r="E14" s="967"/>
      <c r="F14" s="967"/>
      <c r="G14" s="967"/>
      <c r="H14" s="968"/>
      <c r="I14" s="1121">
        <f>WIDECHAR(MID(CONCATENATE('演算'!$Q$25,'演算'!$Q$265,'演算'!$Q$544,'演算'!$Q$823,'演算'!$Q$1102),'演算'!$L$25*A14+1,'演算'!$L$25))</f>
      </c>
      <c r="J14" s="1122"/>
      <c r="K14" s="1122"/>
      <c r="L14" s="961">
        <f>WIDECHAR(MID(CONCATENATE('演算'!$M$229,'演算'!$M$496,'演算'!$M$775,'演算'!$M$1054,'演算'!$M$1333),'演算'!$L$32*A14+1,'演算'!$L$32))</f>
      </c>
      <c r="M14" s="967"/>
      <c r="N14" s="967"/>
      <c r="O14" s="967"/>
      <c r="P14" s="967"/>
      <c r="Q14" s="967"/>
      <c r="R14" s="967"/>
      <c r="S14" s="967"/>
      <c r="T14" s="967"/>
      <c r="U14" s="968"/>
      <c r="V14" s="961">
        <f>WIDECHAR(MID(CONCATENATE('演算'!$M$230,'演算'!$M$497,'演算'!$M$776,'演算'!$M$1055,'演算'!$M$1334),'演算'!$L$40*A14+1,'演算'!$L$40))</f>
      </c>
      <c r="W14" s="967"/>
      <c r="X14" s="968"/>
      <c r="Y14" s="1103">
        <f>WIDECHAR(MID(CONCATENATE('演算'!$M$231,'演算'!$M$498,'演算'!$M$777,'演算'!$M$1056,'演算'!$M$1335),'演算'!$L$49*A14+1,'演算'!$L$49))</f>
      </c>
      <c r="Z14" s="1104"/>
      <c r="AA14" s="1105"/>
      <c r="AB14" s="964">
        <f>MID(CONCATENATE('演算'!$M$232,'演算'!$M$499,'演算'!$M$778,'演算'!$M$1057,'演算'!$M$1336,REPT("　",130)),5*A14+1,5)</f>
      </c>
      <c r="AC14" s="969"/>
      <c r="AD14" s="1103">
        <f t="shared" si="0"/>
      </c>
      <c r="AE14" s="1104"/>
      <c r="AF14" s="952" t="str">
        <f t="shared" si="1"/>
        <v>～</v>
      </c>
      <c r="AG14" s="966">
        <f>MID(CONCATENATE('演算'!$M$233,'演算'!$M$500,'演算'!$M$779,'演算'!$M$1058,'演算'!$M$1337),5*A14+1,5)</f>
      </c>
      <c r="AH14" s="1104">
        <f t="shared" si="2"/>
      </c>
      <c r="AI14" s="1105"/>
      <c r="AJ14" s="953">
        <f>WIDECHAR(MID(CONCATENATE('演算'!$M$234,'演算'!$M$501,'演算'!$M$780,'演算'!$M$1059,'演算'!$M$1338),A14+1,1))</f>
      </c>
      <c r="AL14" s="184">
        <v>8</v>
      </c>
    </row>
    <row r="15" spans="1:38" s="65" customFormat="1" ht="18" customHeight="1">
      <c r="A15" s="65">
        <v>89</v>
      </c>
      <c r="B15" s="1121">
        <f>WIDECHAR(MID(CONCATENATE('演算'!$Q$10,'演算'!$Q$242,'演算'!$Q$521,'演算'!$Q$800,'演算'!$Q$1079),'演算'!$L$10*A15+1,'演算'!$L$10))</f>
      </c>
      <c r="C15" s="1123"/>
      <c r="D15" s="961">
        <f>WIDECHAR(MID(CONCATENATE('演算'!$Q$18,'演算'!$Q$254,'演算'!$Q$533,'演算'!$Q$812,'演算'!$Q$1091),'演算'!$L$18*A15+1,'演算'!$L$18))</f>
      </c>
      <c r="E15" s="967"/>
      <c r="F15" s="967"/>
      <c r="G15" s="967"/>
      <c r="H15" s="968"/>
      <c r="I15" s="1121">
        <f>WIDECHAR(MID(CONCATENATE('演算'!$Q$25,'演算'!$Q$265,'演算'!$Q$544,'演算'!$Q$823,'演算'!$Q$1102),'演算'!$L$25*A15+1,'演算'!$L$25))</f>
      </c>
      <c r="J15" s="1122"/>
      <c r="K15" s="1122"/>
      <c r="L15" s="961">
        <f>WIDECHAR(MID(CONCATENATE('演算'!$M$229,'演算'!$M$496,'演算'!$M$775,'演算'!$M$1054,'演算'!$M$1333),'演算'!$L$32*A15+1,'演算'!$L$32))</f>
      </c>
      <c r="M15" s="967"/>
      <c r="N15" s="967"/>
      <c r="O15" s="967"/>
      <c r="P15" s="967"/>
      <c r="Q15" s="967"/>
      <c r="R15" s="967"/>
      <c r="S15" s="967"/>
      <c r="T15" s="967"/>
      <c r="U15" s="968"/>
      <c r="V15" s="961">
        <f>WIDECHAR(MID(CONCATENATE('演算'!$M$230,'演算'!$M$497,'演算'!$M$776,'演算'!$M$1055,'演算'!$M$1334),'演算'!$L$40*A15+1,'演算'!$L$40))</f>
      </c>
      <c r="W15" s="967"/>
      <c r="X15" s="968"/>
      <c r="Y15" s="1103">
        <f>WIDECHAR(MID(CONCATENATE('演算'!$M$231,'演算'!$M$498,'演算'!$M$777,'演算'!$M$1056,'演算'!$M$1335),'演算'!$L$49*A15+1,'演算'!$L$49))</f>
      </c>
      <c r="Z15" s="1104"/>
      <c r="AA15" s="1105"/>
      <c r="AB15" s="964">
        <f>MID(CONCATENATE('演算'!$M$232,'演算'!$M$499,'演算'!$M$778,'演算'!$M$1057,'演算'!$M$1336,REPT("　",130)),5*A15+1,5)</f>
      </c>
      <c r="AC15" s="969"/>
      <c r="AD15" s="1103">
        <f t="shared" si="0"/>
      </c>
      <c r="AE15" s="1104"/>
      <c r="AF15" s="952" t="str">
        <f t="shared" si="1"/>
        <v>～</v>
      </c>
      <c r="AG15" s="966">
        <f>MID(CONCATENATE('演算'!$M$233,'演算'!$M$500,'演算'!$M$779,'演算'!$M$1058,'演算'!$M$1337),5*A15+1,5)</f>
      </c>
      <c r="AH15" s="1104">
        <f t="shared" si="2"/>
      </c>
      <c r="AI15" s="1105"/>
      <c r="AJ15" s="953">
        <f>WIDECHAR(MID(CONCATENATE('演算'!$M$234,'演算'!$M$501,'演算'!$M$780,'演算'!$M$1059,'演算'!$M$1338),A15+1,1))</f>
      </c>
      <c r="AL15" s="184">
        <v>9</v>
      </c>
    </row>
    <row r="16" spans="1:38" s="65" customFormat="1" ht="18" customHeight="1">
      <c r="A16" s="65">
        <v>90</v>
      </c>
      <c r="B16" s="1121">
        <f>WIDECHAR(MID(CONCATENATE('演算'!$Q$10,'演算'!$Q$242,'演算'!$Q$521,'演算'!$Q$800,'演算'!$Q$1079),'演算'!$L$10*A16+1,'演算'!$L$10))</f>
      </c>
      <c r="C16" s="1123"/>
      <c r="D16" s="961">
        <f>WIDECHAR(MID(CONCATENATE('演算'!$Q$18,'演算'!$Q$254,'演算'!$Q$533,'演算'!$Q$812,'演算'!$Q$1091),'演算'!$L$18*A16+1,'演算'!$L$18))</f>
      </c>
      <c r="E16" s="967"/>
      <c r="F16" s="967"/>
      <c r="G16" s="967"/>
      <c r="H16" s="968"/>
      <c r="I16" s="1121">
        <f>WIDECHAR(MID(CONCATENATE('演算'!$Q$25,'演算'!$Q$265,'演算'!$Q$544,'演算'!$Q$823,'演算'!$Q$1102),'演算'!$L$25*A16+1,'演算'!$L$25))</f>
      </c>
      <c r="J16" s="1122"/>
      <c r="K16" s="1122"/>
      <c r="L16" s="961">
        <f>WIDECHAR(MID(CONCATENATE('演算'!$M$229,'演算'!$M$496,'演算'!$M$775,'演算'!$M$1054,'演算'!$M$1333),'演算'!$L$32*A16+1,'演算'!$L$32))</f>
      </c>
      <c r="M16" s="967"/>
      <c r="N16" s="967"/>
      <c r="O16" s="967"/>
      <c r="P16" s="967"/>
      <c r="Q16" s="952"/>
      <c r="R16" s="967"/>
      <c r="S16" s="967"/>
      <c r="T16" s="967"/>
      <c r="U16" s="968"/>
      <c r="V16" s="961">
        <f>WIDECHAR(MID(CONCATENATE('演算'!$M$230,'演算'!$M$497,'演算'!$M$776,'演算'!$M$1055,'演算'!$M$1334),'演算'!$L$40*A16+1,'演算'!$L$40))</f>
      </c>
      <c r="W16" s="967"/>
      <c r="X16" s="968"/>
      <c r="Y16" s="1103">
        <f>WIDECHAR(MID(CONCATENATE('演算'!$M$231,'演算'!$M$498,'演算'!$M$777,'演算'!$M$1056,'演算'!$M$1335),'演算'!$L$49*A16+1,'演算'!$L$49))</f>
      </c>
      <c r="Z16" s="1104"/>
      <c r="AA16" s="1105"/>
      <c r="AB16" s="964">
        <f>MID(CONCATENATE('演算'!$M$232,'演算'!$M$499,'演算'!$M$778,'演算'!$M$1057,'演算'!$M$1336,REPT("　",130)),5*A16+1,5)</f>
      </c>
      <c r="AC16" s="969"/>
      <c r="AD16" s="1103">
        <f t="shared" si="0"/>
      </c>
      <c r="AE16" s="1104"/>
      <c r="AF16" s="952" t="str">
        <f t="shared" si="1"/>
        <v>～</v>
      </c>
      <c r="AG16" s="966">
        <f>MID(CONCATENATE('演算'!$M$233,'演算'!$M$500,'演算'!$M$779,'演算'!$M$1058,'演算'!$M$1337),5*A16+1,5)</f>
      </c>
      <c r="AH16" s="1104">
        <f t="shared" si="2"/>
      </c>
      <c r="AI16" s="1105"/>
      <c r="AJ16" s="953">
        <f>WIDECHAR(MID(CONCATENATE('演算'!$M$234,'演算'!$M$501,'演算'!$M$780,'演算'!$M$1059,'演算'!$M$1338),A16+1,1))</f>
      </c>
      <c r="AL16" s="184">
        <v>10</v>
      </c>
    </row>
    <row r="17" spans="1:38" s="65" customFormat="1" ht="18" customHeight="1">
      <c r="A17" s="65">
        <v>91</v>
      </c>
      <c r="B17" s="1121">
        <f>WIDECHAR(MID(CONCATENATE('演算'!$Q$10,'演算'!$Q$242,'演算'!$Q$521,'演算'!$Q$800,'演算'!$Q$1079),'演算'!$L$10*A17+1,'演算'!$L$10))</f>
      </c>
      <c r="C17" s="1123"/>
      <c r="D17" s="961">
        <f>WIDECHAR(MID(CONCATENATE('演算'!$Q$18,'演算'!$Q$254,'演算'!$Q$533,'演算'!$Q$812,'演算'!$Q$1091),'演算'!$L$18*A17+1,'演算'!$L$18))</f>
      </c>
      <c r="E17" s="967"/>
      <c r="F17" s="967"/>
      <c r="G17" s="967"/>
      <c r="H17" s="968"/>
      <c r="I17" s="1121">
        <f>WIDECHAR(MID(CONCATENATE('演算'!$Q$25,'演算'!$Q$265,'演算'!$Q$544,'演算'!$Q$823,'演算'!$Q$1102),'演算'!$L$25*A17+1,'演算'!$L$25))</f>
      </c>
      <c r="J17" s="1122"/>
      <c r="K17" s="1122"/>
      <c r="L17" s="961">
        <f>WIDECHAR(MID(CONCATENATE('演算'!$M$229,'演算'!$M$496,'演算'!$M$775,'演算'!$M$1054,'演算'!$M$1333),'演算'!$L$32*A17+1,'演算'!$L$32))</f>
      </c>
      <c r="M17" s="967"/>
      <c r="N17" s="967"/>
      <c r="O17" s="967"/>
      <c r="P17" s="967"/>
      <c r="Q17" s="967"/>
      <c r="R17" s="967"/>
      <c r="S17" s="967"/>
      <c r="T17" s="967"/>
      <c r="U17" s="968"/>
      <c r="V17" s="961">
        <f>WIDECHAR(MID(CONCATENATE('演算'!$M$230,'演算'!$M$497,'演算'!$M$776,'演算'!$M$1055,'演算'!$M$1334),'演算'!$L$40*A17+1,'演算'!$L$40))</f>
      </c>
      <c r="W17" s="967"/>
      <c r="X17" s="968"/>
      <c r="Y17" s="1103">
        <f>WIDECHAR(MID(CONCATENATE('演算'!$M$231,'演算'!$M$498,'演算'!$M$777,'演算'!$M$1056,'演算'!$M$1335),'演算'!$L$49*A17+1,'演算'!$L$49))</f>
      </c>
      <c r="Z17" s="1104"/>
      <c r="AA17" s="1105"/>
      <c r="AB17" s="964">
        <f>MID(CONCATENATE('演算'!$M$232,'演算'!$M$499,'演算'!$M$778,'演算'!$M$1057,'演算'!$M$1336,REPT("　",130)),5*A17+1,5)</f>
      </c>
      <c r="AC17" s="969"/>
      <c r="AD17" s="1103">
        <f t="shared" si="0"/>
      </c>
      <c r="AE17" s="1104"/>
      <c r="AF17" s="952" t="str">
        <f t="shared" si="1"/>
        <v>～</v>
      </c>
      <c r="AG17" s="966">
        <f>MID(CONCATENATE('演算'!$M$233,'演算'!$M$500,'演算'!$M$779,'演算'!$M$1058,'演算'!$M$1337),5*A17+1,5)</f>
      </c>
      <c r="AH17" s="1104">
        <f t="shared" si="2"/>
      </c>
      <c r="AI17" s="1105"/>
      <c r="AJ17" s="953">
        <f>WIDECHAR(MID(CONCATENATE('演算'!$M$234,'演算'!$M$501,'演算'!$M$780,'演算'!$M$1059,'演算'!$M$1338),A17+1,1))</f>
      </c>
      <c r="AL17" s="184">
        <v>11</v>
      </c>
    </row>
    <row r="18" spans="1:38" s="65" customFormat="1" ht="18" customHeight="1">
      <c r="A18" s="65">
        <v>92</v>
      </c>
      <c r="B18" s="1121">
        <f>WIDECHAR(MID(CONCATENATE('演算'!$Q$10,'演算'!$Q$242,'演算'!$Q$521,'演算'!$Q$800,'演算'!$Q$1079),'演算'!$L$10*A18+1,'演算'!$L$10))</f>
      </c>
      <c r="C18" s="1123"/>
      <c r="D18" s="961">
        <f>WIDECHAR(MID(CONCATENATE('演算'!$Q$18,'演算'!$Q$254,'演算'!$Q$533,'演算'!$Q$812,'演算'!$Q$1091),'演算'!$L$18*A18+1,'演算'!$L$18))</f>
      </c>
      <c r="E18" s="967"/>
      <c r="F18" s="967"/>
      <c r="G18" s="967"/>
      <c r="H18" s="968"/>
      <c r="I18" s="1121">
        <f>WIDECHAR(MID(CONCATENATE('演算'!$Q$25,'演算'!$Q$265,'演算'!$Q$544,'演算'!$Q$823,'演算'!$Q$1102),'演算'!$L$25*A18+1,'演算'!$L$25))</f>
      </c>
      <c r="J18" s="1122"/>
      <c r="K18" s="1122"/>
      <c r="L18" s="961">
        <f>WIDECHAR(MID(CONCATENATE('演算'!$M$229,'演算'!$M$496,'演算'!$M$775,'演算'!$M$1054,'演算'!$M$1333),'演算'!$L$32*A18+1,'演算'!$L$32))</f>
      </c>
      <c r="M18" s="967"/>
      <c r="N18" s="967"/>
      <c r="O18" s="967"/>
      <c r="P18" s="967"/>
      <c r="Q18" s="967"/>
      <c r="R18" s="967"/>
      <c r="S18" s="967"/>
      <c r="T18" s="967"/>
      <c r="U18" s="968"/>
      <c r="V18" s="961">
        <f>WIDECHAR(MID(CONCATENATE('演算'!$M$230,'演算'!$M$497,'演算'!$M$776,'演算'!$M$1055,'演算'!$M$1334),'演算'!$L$40*A18+1,'演算'!$L$40))</f>
      </c>
      <c r="W18" s="967"/>
      <c r="X18" s="968"/>
      <c r="Y18" s="1103">
        <f>WIDECHAR(MID(CONCATENATE('演算'!$M$231,'演算'!$M$498,'演算'!$M$777,'演算'!$M$1056,'演算'!$M$1335),'演算'!$L$49*A18+1,'演算'!$L$49))</f>
      </c>
      <c r="Z18" s="1104"/>
      <c r="AA18" s="1105"/>
      <c r="AB18" s="964">
        <f>MID(CONCATENATE('演算'!$M$232,'演算'!$M$499,'演算'!$M$778,'演算'!$M$1057,'演算'!$M$1336,REPT("　",130)),5*A18+1,5)</f>
      </c>
      <c r="AC18" s="969"/>
      <c r="AD18" s="1103">
        <f t="shared" si="0"/>
      </c>
      <c r="AE18" s="1104"/>
      <c r="AF18" s="952" t="str">
        <f t="shared" si="1"/>
        <v>～</v>
      </c>
      <c r="AG18" s="966">
        <f>MID(CONCATENATE('演算'!$M$233,'演算'!$M$500,'演算'!$M$779,'演算'!$M$1058,'演算'!$M$1337),5*A18+1,5)</f>
      </c>
      <c r="AH18" s="1104">
        <f t="shared" si="2"/>
      </c>
      <c r="AI18" s="1105"/>
      <c r="AJ18" s="953">
        <f>WIDECHAR(MID(CONCATENATE('演算'!$M$234,'演算'!$M$501,'演算'!$M$780,'演算'!$M$1059,'演算'!$M$1338),A18+1,1))</f>
      </c>
      <c r="AL18" s="184">
        <v>12</v>
      </c>
    </row>
    <row r="19" spans="1:38" s="65" customFormat="1" ht="18" customHeight="1">
      <c r="A19" s="65">
        <v>93</v>
      </c>
      <c r="B19" s="1121">
        <f>WIDECHAR(MID(CONCATENATE('演算'!$Q$10,'演算'!$Q$242,'演算'!$Q$521,'演算'!$Q$800,'演算'!$Q$1079),'演算'!$L$10*A19+1,'演算'!$L$10))</f>
      </c>
      <c r="C19" s="1123"/>
      <c r="D19" s="961">
        <f>WIDECHAR(MID(CONCATENATE('演算'!$Q$18,'演算'!$Q$254,'演算'!$Q$533,'演算'!$Q$812,'演算'!$Q$1091),'演算'!$L$18*A19+1,'演算'!$L$18))</f>
      </c>
      <c r="E19" s="967"/>
      <c r="F19" s="967"/>
      <c r="G19" s="967"/>
      <c r="H19" s="968"/>
      <c r="I19" s="1121">
        <f>WIDECHAR(MID(CONCATENATE('演算'!$Q$25,'演算'!$Q$265,'演算'!$Q$544,'演算'!$Q$823,'演算'!$Q$1102),'演算'!$L$25*A19+1,'演算'!$L$25))</f>
      </c>
      <c r="J19" s="1122"/>
      <c r="K19" s="1122"/>
      <c r="L19" s="961">
        <f>WIDECHAR(MID(CONCATENATE('演算'!$M$229,'演算'!$M$496,'演算'!$M$775,'演算'!$M$1054,'演算'!$M$1333),'演算'!$L$32*A19+1,'演算'!$L$32))</f>
      </c>
      <c r="M19" s="967"/>
      <c r="N19" s="967"/>
      <c r="O19" s="967"/>
      <c r="P19" s="967"/>
      <c r="Q19" s="967"/>
      <c r="R19" s="967"/>
      <c r="S19" s="967"/>
      <c r="T19" s="967"/>
      <c r="U19" s="968"/>
      <c r="V19" s="961">
        <f>WIDECHAR(MID(CONCATENATE('演算'!$M$230,'演算'!$M$497,'演算'!$M$776,'演算'!$M$1055,'演算'!$M$1334),'演算'!$L$40*A19+1,'演算'!$L$40))</f>
      </c>
      <c r="W19" s="967"/>
      <c r="X19" s="968"/>
      <c r="Y19" s="1103">
        <f>WIDECHAR(MID(CONCATENATE('演算'!$M$231,'演算'!$M$498,'演算'!$M$777,'演算'!$M$1056,'演算'!$M$1335),'演算'!$L$49*A19+1,'演算'!$L$49))</f>
      </c>
      <c r="Z19" s="1104"/>
      <c r="AA19" s="1105"/>
      <c r="AB19" s="964">
        <f>MID(CONCATENATE('演算'!$M$232,'演算'!$M$499,'演算'!$M$778,'演算'!$M$1057,'演算'!$M$1336,REPT("　",130)),5*A19+1,5)</f>
      </c>
      <c r="AC19" s="969"/>
      <c r="AD19" s="1103">
        <f t="shared" si="0"/>
      </c>
      <c r="AE19" s="1104"/>
      <c r="AF19" s="952" t="str">
        <f t="shared" si="1"/>
        <v>～</v>
      </c>
      <c r="AG19" s="966">
        <f>MID(CONCATENATE('演算'!$M$233,'演算'!$M$500,'演算'!$M$779,'演算'!$M$1058,'演算'!$M$1337),5*A19+1,5)</f>
      </c>
      <c r="AH19" s="1104">
        <f t="shared" si="2"/>
      </c>
      <c r="AI19" s="1105"/>
      <c r="AJ19" s="953">
        <f>WIDECHAR(MID(CONCATENATE('演算'!$M$234,'演算'!$M$501,'演算'!$M$780,'演算'!$M$1059,'演算'!$M$1338),A19+1,1))</f>
      </c>
      <c r="AL19" s="184">
        <v>13</v>
      </c>
    </row>
    <row r="20" spans="1:38" s="65" customFormat="1" ht="18" customHeight="1">
      <c r="A20" s="65">
        <v>94</v>
      </c>
      <c r="B20" s="1121">
        <f>WIDECHAR(MID(CONCATENATE('演算'!$Q$10,'演算'!$Q$242,'演算'!$Q$521,'演算'!$Q$800,'演算'!$Q$1079),'演算'!$L$10*A20+1,'演算'!$L$10))</f>
      </c>
      <c r="C20" s="1123"/>
      <c r="D20" s="961">
        <f>WIDECHAR(MID(CONCATENATE('演算'!$Q$18,'演算'!$Q$254,'演算'!$Q$533,'演算'!$Q$812,'演算'!$Q$1091),'演算'!$L$18*A20+1,'演算'!$L$18))</f>
      </c>
      <c r="E20" s="967"/>
      <c r="F20" s="967"/>
      <c r="G20" s="967"/>
      <c r="H20" s="968"/>
      <c r="I20" s="1121">
        <f>WIDECHAR(MID(CONCATENATE('演算'!$Q$25,'演算'!$Q$265,'演算'!$Q$544,'演算'!$Q$823,'演算'!$Q$1102),'演算'!$L$25*A20+1,'演算'!$L$25))</f>
      </c>
      <c r="J20" s="1122"/>
      <c r="K20" s="1122"/>
      <c r="L20" s="961">
        <f>WIDECHAR(MID(CONCATENATE('演算'!$M$229,'演算'!$M$496,'演算'!$M$775,'演算'!$M$1054,'演算'!$M$1333),'演算'!$L$32*A20+1,'演算'!$L$32))</f>
      </c>
      <c r="M20" s="967"/>
      <c r="N20" s="967"/>
      <c r="O20" s="967"/>
      <c r="P20" s="967"/>
      <c r="Q20" s="967"/>
      <c r="R20" s="967"/>
      <c r="S20" s="967"/>
      <c r="T20" s="967"/>
      <c r="U20" s="968"/>
      <c r="V20" s="961">
        <f>WIDECHAR(MID(CONCATENATE('演算'!$M$230,'演算'!$M$497,'演算'!$M$776,'演算'!$M$1055,'演算'!$M$1334),'演算'!$L$40*A20+1,'演算'!$L$40))</f>
      </c>
      <c r="W20" s="967"/>
      <c r="X20" s="968"/>
      <c r="Y20" s="1103">
        <f>WIDECHAR(MID(CONCATENATE('演算'!$M$231,'演算'!$M$498,'演算'!$M$777,'演算'!$M$1056,'演算'!$M$1335),'演算'!$L$49*A20+1,'演算'!$L$49))</f>
      </c>
      <c r="Z20" s="1104"/>
      <c r="AA20" s="1105"/>
      <c r="AB20" s="964">
        <f>MID(CONCATENATE('演算'!$M$232,'演算'!$M$499,'演算'!$M$778,'演算'!$M$1057,'演算'!$M$1336,REPT("　",130)),5*A20+1,5)</f>
      </c>
      <c r="AC20" s="969"/>
      <c r="AD20" s="1103">
        <f t="shared" si="0"/>
      </c>
      <c r="AE20" s="1104"/>
      <c r="AF20" s="952" t="str">
        <f t="shared" si="1"/>
        <v>～</v>
      </c>
      <c r="AG20" s="966">
        <f>MID(CONCATENATE('演算'!$M$233,'演算'!$M$500,'演算'!$M$779,'演算'!$M$1058,'演算'!$M$1337),5*A20+1,5)</f>
      </c>
      <c r="AH20" s="1104">
        <f t="shared" si="2"/>
      </c>
      <c r="AI20" s="1105"/>
      <c r="AJ20" s="953">
        <f>WIDECHAR(MID(CONCATENATE('演算'!$M$234,'演算'!$M$501,'演算'!$M$780,'演算'!$M$1059,'演算'!$M$1338),A20+1,1))</f>
      </c>
      <c r="AL20" s="184">
        <v>14</v>
      </c>
    </row>
    <row r="21" spans="1:38" s="65" customFormat="1" ht="18" customHeight="1">
      <c r="A21" s="65">
        <v>95</v>
      </c>
      <c r="B21" s="1121">
        <f>WIDECHAR(MID(CONCATENATE('演算'!$Q$10,'演算'!$Q$242,'演算'!$Q$521,'演算'!$Q$800,'演算'!$Q$1079),'演算'!$L$10*A21+1,'演算'!$L$10))</f>
      </c>
      <c r="C21" s="1123"/>
      <c r="D21" s="961">
        <f>WIDECHAR(MID(CONCATENATE('演算'!$Q$18,'演算'!$Q$254,'演算'!$Q$533,'演算'!$Q$812,'演算'!$Q$1091),'演算'!$L$18*A21+1,'演算'!$L$18))</f>
      </c>
      <c r="E21" s="967"/>
      <c r="F21" s="967"/>
      <c r="G21" s="967"/>
      <c r="H21" s="968"/>
      <c r="I21" s="1121">
        <f>WIDECHAR(MID(CONCATENATE('演算'!$Q$25,'演算'!$Q$265,'演算'!$Q$544,'演算'!$Q$823,'演算'!$Q$1102),'演算'!$L$25*A21+1,'演算'!$L$25))</f>
      </c>
      <c r="J21" s="1122"/>
      <c r="K21" s="1122"/>
      <c r="L21" s="961">
        <f>WIDECHAR(MID(CONCATENATE('演算'!$M$229,'演算'!$M$496,'演算'!$M$775,'演算'!$M$1054,'演算'!$M$1333),'演算'!$L$32*A21+1,'演算'!$L$32))</f>
      </c>
      <c r="M21" s="967"/>
      <c r="N21" s="967"/>
      <c r="O21" s="967"/>
      <c r="P21" s="967"/>
      <c r="Q21" s="967"/>
      <c r="R21" s="967"/>
      <c r="S21" s="967"/>
      <c r="T21" s="967"/>
      <c r="U21" s="968"/>
      <c r="V21" s="961">
        <f>WIDECHAR(MID(CONCATENATE('演算'!$M$230,'演算'!$M$497,'演算'!$M$776,'演算'!$M$1055,'演算'!$M$1334),'演算'!$L$40*A21+1,'演算'!$L$40))</f>
      </c>
      <c r="W21" s="967"/>
      <c r="X21" s="968"/>
      <c r="Y21" s="1103">
        <f>WIDECHAR(MID(CONCATENATE('演算'!$M$231,'演算'!$M$498,'演算'!$M$777,'演算'!$M$1056,'演算'!$M$1335),'演算'!$L$49*A21+1,'演算'!$L$49))</f>
      </c>
      <c r="Z21" s="1104"/>
      <c r="AA21" s="1105"/>
      <c r="AB21" s="964">
        <f>MID(CONCATENATE('演算'!$M$232,'演算'!$M$499,'演算'!$M$778,'演算'!$M$1057,'演算'!$M$1336,REPT("　",130)),5*A21+1,5)</f>
      </c>
      <c r="AC21" s="969"/>
      <c r="AD21" s="1103">
        <f t="shared" si="0"/>
      </c>
      <c r="AE21" s="1104"/>
      <c r="AF21" s="952" t="str">
        <f t="shared" si="1"/>
        <v>～</v>
      </c>
      <c r="AG21" s="966">
        <f>MID(CONCATENATE('演算'!$M$233,'演算'!$M$500,'演算'!$M$779,'演算'!$M$1058,'演算'!$M$1337),5*A21+1,5)</f>
      </c>
      <c r="AH21" s="1104">
        <f t="shared" si="2"/>
      </c>
      <c r="AI21" s="1105"/>
      <c r="AJ21" s="953">
        <f>WIDECHAR(MID(CONCATENATE('演算'!$M$234,'演算'!$M$501,'演算'!$M$780,'演算'!$M$1059,'演算'!$M$1338),A21+1,1))</f>
      </c>
      <c r="AL21" s="184">
        <v>15</v>
      </c>
    </row>
    <row r="22" spans="1:38" s="65" customFormat="1" ht="18" customHeight="1">
      <c r="A22" s="65">
        <v>96</v>
      </c>
      <c r="B22" s="1121">
        <f>WIDECHAR(MID(CONCATENATE('演算'!$Q$10,'演算'!$Q$242,'演算'!$Q$521,'演算'!$Q$800,'演算'!$Q$1079),'演算'!$L$10*A22+1,'演算'!$L$10))</f>
      </c>
      <c r="C22" s="1123"/>
      <c r="D22" s="961">
        <f>WIDECHAR(MID(CONCATENATE('演算'!$Q$18,'演算'!$Q$254,'演算'!$Q$533,'演算'!$Q$812,'演算'!$Q$1091),'演算'!$L$18*A22+1,'演算'!$L$18))</f>
      </c>
      <c r="E22" s="967"/>
      <c r="F22" s="967"/>
      <c r="G22" s="967"/>
      <c r="H22" s="968"/>
      <c r="I22" s="1121">
        <f>WIDECHAR(MID(CONCATENATE('演算'!$Q$25,'演算'!$Q$265,'演算'!$Q$544,'演算'!$Q$823,'演算'!$Q$1102),'演算'!$L$25*A22+1,'演算'!$L$25))</f>
      </c>
      <c r="J22" s="1122"/>
      <c r="K22" s="1122"/>
      <c r="L22" s="961">
        <f>WIDECHAR(MID(CONCATENATE('演算'!$M$229,'演算'!$M$496,'演算'!$M$775,'演算'!$M$1054,'演算'!$M$1333),'演算'!$L$32*A22+1,'演算'!$L$32))</f>
      </c>
      <c r="M22" s="967"/>
      <c r="N22" s="967"/>
      <c r="O22" s="967"/>
      <c r="P22" s="967"/>
      <c r="Q22" s="967"/>
      <c r="R22" s="967"/>
      <c r="S22" s="967"/>
      <c r="T22" s="967"/>
      <c r="U22" s="968"/>
      <c r="V22" s="961">
        <f>WIDECHAR(MID(CONCATENATE('演算'!$M$230,'演算'!$M$497,'演算'!$M$776,'演算'!$M$1055,'演算'!$M$1334),'演算'!$L$40*A22+1,'演算'!$L$40))</f>
      </c>
      <c r="W22" s="967"/>
      <c r="X22" s="968"/>
      <c r="Y22" s="1103">
        <f>WIDECHAR(MID(CONCATENATE('演算'!$M$231,'演算'!$M$498,'演算'!$M$777,'演算'!$M$1056,'演算'!$M$1335),'演算'!$L$49*A22+1,'演算'!$L$49))</f>
      </c>
      <c r="Z22" s="1104"/>
      <c r="AA22" s="1105"/>
      <c r="AB22" s="964">
        <f>MID(CONCATENATE('演算'!$M$232,'演算'!$M$499,'演算'!$M$778,'演算'!$M$1057,'演算'!$M$1336,REPT("　",130)),5*A22+1,5)</f>
      </c>
      <c r="AC22" s="969"/>
      <c r="AD22" s="1103">
        <f t="shared" si="0"/>
      </c>
      <c r="AE22" s="1104"/>
      <c r="AF22" s="952" t="str">
        <f t="shared" si="1"/>
        <v>～</v>
      </c>
      <c r="AG22" s="966">
        <f>MID(CONCATENATE('演算'!$M$233,'演算'!$M$500,'演算'!$M$779,'演算'!$M$1058,'演算'!$M$1337),5*A22+1,5)</f>
      </c>
      <c r="AH22" s="1104">
        <f t="shared" si="2"/>
      </c>
      <c r="AI22" s="1105"/>
      <c r="AJ22" s="953">
        <f>WIDECHAR(MID(CONCATENATE('演算'!$M$234,'演算'!$M$501,'演算'!$M$780,'演算'!$M$1059,'演算'!$M$1338),A22+1,1))</f>
      </c>
      <c r="AL22" s="184">
        <v>16</v>
      </c>
    </row>
    <row r="23" spans="1:38" s="65" customFormat="1" ht="18" customHeight="1">
      <c r="A23" s="65">
        <v>97</v>
      </c>
      <c r="B23" s="1121">
        <f>WIDECHAR(MID(CONCATENATE('演算'!$Q$10,'演算'!$Q$242,'演算'!$Q$521,'演算'!$Q$800,'演算'!$Q$1079),'演算'!$L$10*A23+1,'演算'!$L$10))</f>
      </c>
      <c r="C23" s="1123"/>
      <c r="D23" s="961">
        <f>WIDECHAR(MID(CONCATENATE('演算'!$Q$18,'演算'!$Q$254,'演算'!$Q$533,'演算'!$Q$812,'演算'!$Q$1091),'演算'!$L$18*A23+1,'演算'!$L$18))</f>
      </c>
      <c r="E23" s="967"/>
      <c r="F23" s="967"/>
      <c r="G23" s="967"/>
      <c r="H23" s="968"/>
      <c r="I23" s="1121">
        <f>WIDECHAR(MID(CONCATENATE('演算'!$Q$25,'演算'!$Q$265,'演算'!$Q$544,'演算'!$Q$823,'演算'!$Q$1102),'演算'!$L$25*A23+1,'演算'!$L$25))</f>
      </c>
      <c r="J23" s="1122"/>
      <c r="K23" s="1122"/>
      <c r="L23" s="961">
        <f>WIDECHAR(MID(CONCATENATE('演算'!$M$229,'演算'!$M$496,'演算'!$M$775,'演算'!$M$1054,'演算'!$M$1333),'演算'!$L$32*A23+1,'演算'!$L$32))</f>
      </c>
      <c r="M23" s="967"/>
      <c r="N23" s="967"/>
      <c r="O23" s="967"/>
      <c r="P23" s="967"/>
      <c r="Q23" s="967"/>
      <c r="R23" s="967"/>
      <c r="S23" s="967"/>
      <c r="T23" s="967"/>
      <c r="U23" s="968"/>
      <c r="V23" s="961">
        <f>WIDECHAR(MID(CONCATENATE('演算'!$M$230,'演算'!$M$497,'演算'!$M$776,'演算'!$M$1055,'演算'!$M$1334),'演算'!$L$40*A23+1,'演算'!$L$40))</f>
      </c>
      <c r="W23" s="967"/>
      <c r="X23" s="968"/>
      <c r="Y23" s="1103">
        <f>WIDECHAR(MID(CONCATENATE('演算'!$M$231,'演算'!$M$498,'演算'!$M$777,'演算'!$M$1056,'演算'!$M$1335),'演算'!$L$49*A23+1,'演算'!$L$49))</f>
      </c>
      <c r="Z23" s="1104"/>
      <c r="AA23" s="1105"/>
      <c r="AB23" s="964">
        <f>MID(CONCATENATE('演算'!$M$232,'演算'!$M$499,'演算'!$M$778,'演算'!$M$1057,'演算'!$M$1336,REPT("　",130)),5*A23+1,5)</f>
      </c>
      <c r="AC23" s="969"/>
      <c r="AD23" s="1103">
        <f t="shared" si="0"/>
      </c>
      <c r="AE23" s="1104"/>
      <c r="AF23" s="952" t="str">
        <f t="shared" si="1"/>
        <v>～</v>
      </c>
      <c r="AG23" s="966">
        <f>MID(CONCATENATE('演算'!$M$233,'演算'!$M$500,'演算'!$M$779,'演算'!$M$1058,'演算'!$M$1337),5*A23+1,5)</f>
      </c>
      <c r="AH23" s="1104">
        <f t="shared" si="2"/>
      </c>
      <c r="AI23" s="1105"/>
      <c r="AJ23" s="953">
        <f>WIDECHAR(MID(CONCATENATE('演算'!$M$234,'演算'!$M$501,'演算'!$M$780,'演算'!$M$1059,'演算'!$M$1338),A23+1,1))</f>
      </c>
      <c r="AL23" s="184">
        <v>17</v>
      </c>
    </row>
    <row r="24" spans="1:38" s="65" customFormat="1" ht="18" customHeight="1">
      <c r="A24" s="65">
        <v>98</v>
      </c>
      <c r="B24" s="1121">
        <f>WIDECHAR(MID(CONCATENATE('演算'!$Q$10,'演算'!$Q$242,'演算'!$Q$521,'演算'!$Q$800,'演算'!$Q$1079),'演算'!$L$10*A24+1,'演算'!$L$10))</f>
      </c>
      <c r="C24" s="1123"/>
      <c r="D24" s="961">
        <f>WIDECHAR(MID(CONCATENATE('演算'!$Q$18,'演算'!$Q$254,'演算'!$Q$533,'演算'!$Q$812,'演算'!$Q$1091),'演算'!$L$18*A24+1,'演算'!$L$18))</f>
      </c>
      <c r="E24" s="967"/>
      <c r="F24" s="967"/>
      <c r="G24" s="967"/>
      <c r="H24" s="968"/>
      <c r="I24" s="1121">
        <f>WIDECHAR(MID(CONCATENATE('演算'!$Q$25,'演算'!$Q$265,'演算'!$Q$544,'演算'!$Q$823,'演算'!$Q$1102),'演算'!$L$25*A24+1,'演算'!$L$25))</f>
      </c>
      <c r="J24" s="1122"/>
      <c r="K24" s="1122"/>
      <c r="L24" s="961">
        <f>WIDECHAR(MID(CONCATENATE('演算'!$M$229,'演算'!$M$496,'演算'!$M$775,'演算'!$M$1054,'演算'!$M$1333),'演算'!$L$32*A24+1,'演算'!$L$32))</f>
      </c>
      <c r="M24" s="967"/>
      <c r="N24" s="967"/>
      <c r="O24" s="967"/>
      <c r="P24" s="967"/>
      <c r="Q24" s="967"/>
      <c r="R24" s="967"/>
      <c r="S24" s="967"/>
      <c r="T24" s="967"/>
      <c r="U24" s="968"/>
      <c r="V24" s="961">
        <f>WIDECHAR(MID(CONCATENATE('演算'!$M$230,'演算'!$M$497,'演算'!$M$776,'演算'!$M$1055,'演算'!$M$1334),'演算'!$L$40*A24+1,'演算'!$L$40))</f>
      </c>
      <c r="W24" s="967"/>
      <c r="X24" s="968"/>
      <c r="Y24" s="1103">
        <f>WIDECHAR(MID(CONCATENATE('演算'!$M$231,'演算'!$M$498,'演算'!$M$777,'演算'!$M$1056,'演算'!$M$1335),'演算'!$L$49*A24+1,'演算'!$L$49))</f>
      </c>
      <c r="Z24" s="1104"/>
      <c r="AA24" s="1105"/>
      <c r="AB24" s="964">
        <f>MID(CONCATENATE('演算'!$M$232,'演算'!$M$499,'演算'!$M$778,'演算'!$M$1057,'演算'!$M$1336,REPT("　",130)),5*A24+1,5)</f>
      </c>
      <c r="AC24" s="969"/>
      <c r="AD24" s="1103">
        <f t="shared" si="0"/>
      </c>
      <c r="AE24" s="1104"/>
      <c r="AF24" s="952" t="str">
        <f t="shared" si="1"/>
        <v>～</v>
      </c>
      <c r="AG24" s="966">
        <f>MID(CONCATENATE('演算'!$M$233,'演算'!$M$500,'演算'!$M$779,'演算'!$M$1058,'演算'!$M$1337),5*A24+1,5)</f>
      </c>
      <c r="AH24" s="1104">
        <f t="shared" si="2"/>
      </c>
      <c r="AI24" s="1105"/>
      <c r="AJ24" s="953">
        <f>WIDECHAR(MID(CONCATENATE('演算'!$M$234,'演算'!$M$501,'演算'!$M$780,'演算'!$M$1059,'演算'!$M$1338),A24+1,1))</f>
      </c>
      <c r="AL24" s="184">
        <v>18</v>
      </c>
    </row>
    <row r="25" spans="1:38" s="65" customFormat="1" ht="18" customHeight="1">
      <c r="A25" s="65">
        <v>99</v>
      </c>
      <c r="B25" s="1121">
        <f>WIDECHAR(MID(CONCATENATE('演算'!$Q$10,'演算'!$Q$242,'演算'!$Q$521,'演算'!$Q$800,'演算'!$Q$1079),'演算'!$L$10*A25+1,'演算'!$L$10))</f>
      </c>
      <c r="C25" s="1123"/>
      <c r="D25" s="961">
        <f>WIDECHAR(MID(CONCATENATE('演算'!$Q$18,'演算'!$Q$254,'演算'!$Q$533,'演算'!$Q$812,'演算'!$Q$1091),'演算'!$L$18*A25+1,'演算'!$L$18))</f>
      </c>
      <c r="E25" s="967"/>
      <c r="F25" s="967"/>
      <c r="G25" s="967"/>
      <c r="H25" s="968"/>
      <c r="I25" s="1121">
        <f>WIDECHAR(MID(CONCATENATE('演算'!$Q$25,'演算'!$Q$265,'演算'!$Q$544,'演算'!$Q$823,'演算'!$Q$1102),'演算'!$L$25*A25+1,'演算'!$L$25))</f>
      </c>
      <c r="J25" s="1122"/>
      <c r="K25" s="1122"/>
      <c r="L25" s="961">
        <f>WIDECHAR(MID(CONCATENATE('演算'!$M$229,'演算'!$M$496,'演算'!$M$775,'演算'!$M$1054,'演算'!$M$1333),'演算'!$L$32*A25+1,'演算'!$L$32))</f>
      </c>
      <c r="M25" s="967"/>
      <c r="N25" s="967"/>
      <c r="O25" s="967"/>
      <c r="P25" s="967"/>
      <c r="Q25" s="967"/>
      <c r="R25" s="967"/>
      <c r="S25" s="967"/>
      <c r="T25" s="967"/>
      <c r="U25" s="968"/>
      <c r="V25" s="961">
        <f>WIDECHAR(MID(CONCATENATE('演算'!$M$230,'演算'!$M$497,'演算'!$M$776,'演算'!$M$1055,'演算'!$M$1334),'演算'!$L$40*A25+1,'演算'!$L$40))</f>
      </c>
      <c r="W25" s="967"/>
      <c r="X25" s="968"/>
      <c r="Y25" s="1103">
        <f>WIDECHAR(MID(CONCATENATE('演算'!$M$231,'演算'!$M$498,'演算'!$M$777,'演算'!$M$1056,'演算'!$M$1335),'演算'!$L$49*A25+1,'演算'!$L$49))</f>
      </c>
      <c r="Z25" s="1104"/>
      <c r="AA25" s="1105"/>
      <c r="AB25" s="964">
        <f>MID(CONCATENATE('演算'!$M$232,'演算'!$M$499,'演算'!$M$778,'演算'!$M$1057,'演算'!$M$1336,REPT("　",130)),5*A25+1,5)</f>
      </c>
      <c r="AC25" s="969"/>
      <c r="AD25" s="1103">
        <f t="shared" si="0"/>
      </c>
      <c r="AE25" s="1104"/>
      <c r="AF25" s="952" t="str">
        <f t="shared" si="1"/>
        <v>～</v>
      </c>
      <c r="AG25" s="966">
        <f>MID(CONCATENATE('演算'!$M$233,'演算'!$M$500,'演算'!$M$779,'演算'!$M$1058,'演算'!$M$1337),5*A25+1,5)</f>
      </c>
      <c r="AH25" s="1104">
        <f t="shared" si="2"/>
      </c>
      <c r="AI25" s="1105"/>
      <c r="AJ25" s="953">
        <f>WIDECHAR(MID(CONCATENATE('演算'!$M$234,'演算'!$M$501,'演算'!$M$780,'演算'!$M$1059,'演算'!$M$1338),A25+1,1))</f>
      </c>
      <c r="AL25" s="184">
        <v>19</v>
      </c>
    </row>
    <row r="26" spans="1:38" s="65" customFormat="1" ht="18" customHeight="1">
      <c r="A26" s="65">
        <v>100</v>
      </c>
      <c r="B26" s="1121">
        <f>WIDECHAR(MID(CONCATENATE('演算'!$Q$10,'演算'!$Q$242,'演算'!$Q$521,'演算'!$Q$800,'演算'!$Q$1079),'演算'!$L$10*A26+1,'演算'!$L$10))</f>
      </c>
      <c r="C26" s="1123"/>
      <c r="D26" s="961">
        <f>WIDECHAR(MID(CONCATENATE('演算'!$Q$18,'演算'!$Q$254,'演算'!$Q$533,'演算'!$Q$812,'演算'!$Q$1091),'演算'!$L$18*A26+1,'演算'!$L$18))</f>
      </c>
      <c r="E26" s="967"/>
      <c r="F26" s="967"/>
      <c r="G26" s="967"/>
      <c r="H26" s="968"/>
      <c r="I26" s="1121">
        <f>WIDECHAR(MID(CONCATENATE('演算'!$Q$25,'演算'!$Q$265,'演算'!$Q$544,'演算'!$Q$823,'演算'!$Q$1102),'演算'!$L$25*A26+1,'演算'!$L$25))</f>
      </c>
      <c r="J26" s="1122"/>
      <c r="K26" s="1122"/>
      <c r="L26" s="961">
        <f>WIDECHAR(MID(CONCATENATE('演算'!$M$229,'演算'!$M$496,'演算'!$M$775,'演算'!$M$1054,'演算'!$M$1333),'演算'!$L$32*A26+1,'演算'!$L$32))</f>
      </c>
      <c r="M26" s="967"/>
      <c r="N26" s="967"/>
      <c r="O26" s="967"/>
      <c r="P26" s="967"/>
      <c r="Q26" s="967"/>
      <c r="R26" s="967"/>
      <c r="S26" s="967"/>
      <c r="T26" s="967"/>
      <c r="U26" s="968"/>
      <c r="V26" s="961">
        <f>WIDECHAR(MID(CONCATENATE('演算'!$M$230,'演算'!$M$497,'演算'!$M$776,'演算'!$M$1055,'演算'!$M$1334),'演算'!$L$40*A26+1,'演算'!$L$40))</f>
      </c>
      <c r="W26" s="967"/>
      <c r="X26" s="968"/>
      <c r="Y26" s="1103">
        <f>WIDECHAR(MID(CONCATENATE('演算'!$M$231,'演算'!$M$498,'演算'!$M$777,'演算'!$M$1056,'演算'!$M$1335),'演算'!$L$49*A26+1,'演算'!$L$49))</f>
      </c>
      <c r="Z26" s="1104"/>
      <c r="AA26" s="1105"/>
      <c r="AB26" s="964">
        <f>MID(CONCATENATE('演算'!$M$232,'演算'!$M$499,'演算'!$M$778,'演算'!$M$1057,'演算'!$M$1336,REPT("　",130)),5*A26+1,5)</f>
      </c>
      <c r="AC26" s="969"/>
      <c r="AD26" s="1103">
        <f t="shared" si="0"/>
      </c>
      <c r="AE26" s="1104"/>
      <c r="AF26" s="952" t="str">
        <f t="shared" si="1"/>
        <v>～</v>
      </c>
      <c r="AG26" s="966">
        <f>MID(CONCATENATE('演算'!$M$233,'演算'!$M$500,'演算'!$M$779,'演算'!$M$1058,'演算'!$M$1337),5*A26+1,5)</f>
      </c>
      <c r="AH26" s="1104">
        <f t="shared" si="2"/>
      </c>
      <c r="AI26" s="1105"/>
      <c r="AJ26" s="953">
        <f>WIDECHAR(MID(CONCATENATE('演算'!$M$234,'演算'!$M$501,'演算'!$M$780,'演算'!$M$1059,'演算'!$M$1338),A26+1,1))</f>
      </c>
      <c r="AL26" s="184">
        <v>20</v>
      </c>
    </row>
    <row r="27" spans="1:38" s="65" customFormat="1" ht="18" customHeight="1">
      <c r="A27" s="65">
        <v>101</v>
      </c>
      <c r="B27" s="1121">
        <f>WIDECHAR(MID(CONCATENATE('演算'!$Q$10,'演算'!$Q$242,'演算'!$Q$521,'演算'!$Q$800,'演算'!$Q$1079),'演算'!$L$10*A27+1,'演算'!$L$10))</f>
      </c>
      <c r="C27" s="1123"/>
      <c r="D27" s="961">
        <f>WIDECHAR(MID(CONCATENATE('演算'!$Q$18,'演算'!$Q$254,'演算'!$Q$533,'演算'!$Q$812,'演算'!$Q$1091),'演算'!$L$18*A27+1,'演算'!$L$18))</f>
      </c>
      <c r="E27" s="967"/>
      <c r="F27" s="967"/>
      <c r="G27" s="967"/>
      <c r="H27" s="968"/>
      <c r="I27" s="1121">
        <f>WIDECHAR(MID(CONCATENATE('演算'!$Q$25,'演算'!$Q$265,'演算'!$Q$544,'演算'!$Q$823,'演算'!$Q$1102),'演算'!$L$25*A27+1,'演算'!$L$25))</f>
      </c>
      <c r="J27" s="1122"/>
      <c r="K27" s="1122"/>
      <c r="L27" s="961">
        <f>WIDECHAR(MID(CONCATENATE('演算'!$M$229,'演算'!$M$496,'演算'!$M$775,'演算'!$M$1054,'演算'!$M$1333),'演算'!$L$32*A27+1,'演算'!$L$32))</f>
      </c>
      <c r="M27" s="967"/>
      <c r="N27" s="967"/>
      <c r="O27" s="967"/>
      <c r="P27" s="967"/>
      <c r="Q27" s="967"/>
      <c r="R27" s="967"/>
      <c r="S27" s="967"/>
      <c r="T27" s="967"/>
      <c r="U27" s="968"/>
      <c r="V27" s="961">
        <f>WIDECHAR(MID(CONCATENATE('演算'!$M$230,'演算'!$M$497,'演算'!$M$776,'演算'!$M$1055,'演算'!$M$1334),'演算'!$L$40*A27+1,'演算'!$L$40))</f>
      </c>
      <c r="W27" s="967"/>
      <c r="X27" s="968"/>
      <c r="Y27" s="1103">
        <f>WIDECHAR(MID(CONCATENATE('演算'!$M$231,'演算'!$M$498,'演算'!$M$777,'演算'!$M$1056,'演算'!$M$1335),'演算'!$L$49*A27+1,'演算'!$L$49))</f>
      </c>
      <c r="Z27" s="1104"/>
      <c r="AA27" s="1105"/>
      <c r="AB27" s="964">
        <f>MID(CONCATENATE('演算'!$M$232,'演算'!$M$499,'演算'!$M$778,'演算'!$M$1057,'演算'!$M$1336,REPT("　",130)),5*A27+1,5)</f>
      </c>
      <c r="AC27" s="969"/>
      <c r="AD27" s="1103">
        <f t="shared" si="0"/>
      </c>
      <c r="AE27" s="1104"/>
      <c r="AF27" s="952" t="str">
        <f t="shared" si="1"/>
        <v>～</v>
      </c>
      <c r="AG27" s="966">
        <f>MID(CONCATENATE('演算'!$M$233,'演算'!$M$500,'演算'!$M$779,'演算'!$M$1058,'演算'!$M$1337),5*A27+1,5)</f>
      </c>
      <c r="AH27" s="1104">
        <f t="shared" si="2"/>
      </c>
      <c r="AI27" s="1105"/>
      <c r="AJ27" s="953">
        <f>WIDECHAR(MID(CONCATENATE('演算'!$M$234,'演算'!$M$501,'演算'!$M$780,'演算'!$M$1059,'演算'!$M$1338),A27+1,1))</f>
      </c>
      <c r="AL27" s="184">
        <v>21</v>
      </c>
    </row>
    <row r="28" spans="1:38" s="65" customFormat="1" ht="18" customHeight="1">
      <c r="A28" s="65">
        <v>102</v>
      </c>
      <c r="B28" s="1121">
        <f>WIDECHAR(MID(CONCATENATE('演算'!$Q$10,'演算'!$Q$242,'演算'!$Q$521,'演算'!$Q$800,'演算'!$Q$1079),'演算'!$L$10*A28+1,'演算'!$L$10))</f>
      </c>
      <c r="C28" s="1123"/>
      <c r="D28" s="961">
        <f>WIDECHAR(MID(CONCATENATE('演算'!$Q$18,'演算'!$Q$254,'演算'!$Q$533,'演算'!$Q$812,'演算'!$Q$1091),'演算'!$L$18*A28+1,'演算'!$L$18))</f>
      </c>
      <c r="E28" s="970"/>
      <c r="F28" s="970"/>
      <c r="G28" s="970"/>
      <c r="H28" s="971"/>
      <c r="I28" s="1121">
        <f>WIDECHAR(MID(CONCATENATE('演算'!$Q$25,'演算'!$Q$265,'演算'!$Q$544,'演算'!$Q$823,'演算'!$Q$1102),'演算'!$L$25*A28+1,'演算'!$L$25))</f>
      </c>
      <c r="J28" s="1122"/>
      <c r="K28" s="1122"/>
      <c r="L28" s="961">
        <f>WIDECHAR(MID(CONCATENATE('演算'!$M$229,'演算'!$M$496,'演算'!$M$775,'演算'!$M$1054,'演算'!$M$1333),'演算'!$L$32*A28+1,'演算'!$L$32))</f>
      </c>
      <c r="M28" s="970"/>
      <c r="N28" s="970"/>
      <c r="O28" s="970"/>
      <c r="P28" s="970"/>
      <c r="Q28" s="970"/>
      <c r="R28" s="970"/>
      <c r="S28" s="970"/>
      <c r="T28" s="970"/>
      <c r="U28" s="971"/>
      <c r="V28" s="961">
        <f>WIDECHAR(MID(CONCATENATE('演算'!$M$230,'演算'!$M$497,'演算'!$M$776,'演算'!$M$1055,'演算'!$M$1334),'演算'!$L$40*A28+1,'演算'!$L$40))</f>
      </c>
      <c r="W28" s="970"/>
      <c r="X28" s="971"/>
      <c r="Y28" s="1103">
        <f>WIDECHAR(MID(CONCATENATE('演算'!$M$231,'演算'!$M$498,'演算'!$M$777,'演算'!$M$1056,'演算'!$M$1335),'演算'!$L$49*A28+1,'演算'!$L$49))</f>
      </c>
      <c r="Z28" s="1104"/>
      <c r="AA28" s="1105"/>
      <c r="AB28" s="964">
        <f>MID(CONCATENATE('演算'!$M$232,'演算'!$M$499,'演算'!$M$778,'演算'!$M$1057,'演算'!$M$1336,REPT("　",130)),5*A28+1,5)</f>
      </c>
      <c r="AC28" s="969"/>
      <c r="AD28" s="1103">
        <f t="shared" si="0"/>
      </c>
      <c r="AE28" s="1104"/>
      <c r="AF28" s="952" t="str">
        <f t="shared" si="1"/>
        <v>～</v>
      </c>
      <c r="AG28" s="966">
        <f>MID(CONCATENATE('演算'!$M$233,'演算'!$M$500,'演算'!$M$779,'演算'!$M$1058,'演算'!$M$1337),5*A28+1,5)</f>
      </c>
      <c r="AH28" s="1104">
        <f t="shared" si="2"/>
      </c>
      <c r="AI28" s="1105"/>
      <c r="AJ28" s="953">
        <f>WIDECHAR(MID(CONCATENATE('演算'!$M$234,'演算'!$M$501,'演算'!$M$780,'演算'!$M$1059,'演算'!$M$1338),A28+1,1))</f>
      </c>
      <c r="AL28" s="184">
        <v>22</v>
      </c>
    </row>
    <row r="29" spans="1:38" ht="18" customHeight="1">
      <c r="A29" s="65">
        <v>103</v>
      </c>
      <c r="B29" s="1121">
        <f>WIDECHAR(MID(CONCATENATE('演算'!$Q$10,'演算'!$Q$242,'演算'!$Q$521,'演算'!$Q$800,'演算'!$Q$1079),'演算'!$L$10*A29+1,'演算'!$L$10))</f>
      </c>
      <c r="C29" s="1123"/>
      <c r="D29" s="961">
        <f>WIDECHAR(MID(CONCATENATE('演算'!$Q$18,'演算'!$Q$254,'演算'!$Q$533,'演算'!$Q$812,'演算'!$Q$1091),'演算'!$L$18*A29+1,'演算'!$L$18))</f>
      </c>
      <c r="E29" s="972"/>
      <c r="F29" s="972"/>
      <c r="G29" s="972"/>
      <c r="H29" s="973"/>
      <c r="I29" s="1121">
        <f>WIDECHAR(MID(CONCATENATE('演算'!$Q$25,'演算'!$Q$265,'演算'!$Q$544,'演算'!$Q$823,'演算'!$Q$1102),'演算'!$L$25*A29+1,'演算'!$L$25))</f>
      </c>
      <c r="J29" s="1122"/>
      <c r="K29" s="1122"/>
      <c r="L29" s="961">
        <f>WIDECHAR(MID(CONCATENATE('演算'!$M$229,'演算'!$M$496,'演算'!$M$775,'演算'!$M$1054,'演算'!$M$1333),'演算'!$L$32*A29+1,'演算'!$L$32))</f>
      </c>
      <c r="M29" s="967"/>
      <c r="N29" s="967"/>
      <c r="O29" s="972"/>
      <c r="P29" s="972"/>
      <c r="Q29" s="972"/>
      <c r="R29" s="972"/>
      <c r="S29" s="972"/>
      <c r="T29" s="972"/>
      <c r="U29" s="973"/>
      <c r="V29" s="961">
        <f>WIDECHAR(MID(CONCATENATE('演算'!$M$230,'演算'!$M$497,'演算'!$M$776,'演算'!$M$1055,'演算'!$M$1334),'演算'!$L$40*A29+1,'演算'!$L$40))</f>
      </c>
      <c r="W29" s="972"/>
      <c r="X29" s="973"/>
      <c r="Y29" s="1103">
        <f>WIDECHAR(MID(CONCATENATE('演算'!$M$231,'演算'!$M$498,'演算'!$M$777,'演算'!$M$1056,'演算'!$M$1335),'演算'!$L$49*A29+1,'演算'!$L$49))</f>
      </c>
      <c r="Z29" s="1104"/>
      <c r="AA29" s="1105"/>
      <c r="AB29" s="964">
        <f>MID(CONCATENATE('演算'!$M$232,'演算'!$M$499,'演算'!$M$778,'演算'!$M$1057,'演算'!$M$1336,REPT("　",130)),5*A29+1,5)</f>
      </c>
      <c r="AC29" s="969"/>
      <c r="AD29" s="1103">
        <f t="shared" si="0"/>
      </c>
      <c r="AE29" s="1104"/>
      <c r="AF29" s="952" t="str">
        <f t="shared" si="1"/>
        <v>～</v>
      </c>
      <c r="AG29" s="966">
        <f>MID(CONCATENATE('演算'!$M$233,'演算'!$M$500,'演算'!$M$779,'演算'!$M$1058,'演算'!$M$1337),5*A29+1,5)</f>
      </c>
      <c r="AH29" s="1104">
        <f t="shared" si="2"/>
      </c>
      <c r="AI29" s="1105"/>
      <c r="AJ29" s="953">
        <f>WIDECHAR(MID(CONCATENATE('演算'!$M$234,'演算'!$M$501,'演算'!$M$780,'演算'!$M$1059,'演算'!$M$1338),A29+1,1))</f>
      </c>
      <c r="AL29" s="184">
        <v>23</v>
      </c>
    </row>
    <row r="30" spans="1:38" ht="18" customHeight="1">
      <c r="A30" s="65">
        <v>104</v>
      </c>
      <c r="B30" s="1121">
        <f>WIDECHAR(MID(CONCATENATE('演算'!$Q$10,'演算'!$Q$242,'演算'!$Q$521,'演算'!$Q$800,'演算'!$Q$1079),'演算'!$L$10*A30+1,'演算'!$L$10))</f>
      </c>
      <c r="C30" s="1123"/>
      <c r="D30" s="961">
        <f>WIDECHAR(MID(CONCATENATE('演算'!$Q$18,'演算'!$Q$254,'演算'!$Q$533,'演算'!$Q$812,'演算'!$Q$1091),'演算'!$L$18*A30+1,'演算'!$L$18))</f>
      </c>
      <c r="E30" s="972"/>
      <c r="F30" s="972"/>
      <c r="G30" s="972"/>
      <c r="H30" s="973"/>
      <c r="I30" s="1121">
        <f>WIDECHAR(MID(CONCATENATE('演算'!$Q$25,'演算'!$Q$265,'演算'!$Q$544,'演算'!$Q$823,'演算'!$Q$1102),'演算'!$L$25*A30+1,'演算'!$L$25))</f>
      </c>
      <c r="J30" s="1122"/>
      <c r="K30" s="1122"/>
      <c r="L30" s="961">
        <f>WIDECHAR(MID(CONCATENATE('演算'!$M$229,'演算'!$M$496,'演算'!$M$775,'演算'!$M$1054,'演算'!$M$1333),'演算'!$L$32*A30+1,'演算'!$L$32))</f>
      </c>
      <c r="M30" s="967"/>
      <c r="N30" s="967"/>
      <c r="O30" s="972"/>
      <c r="P30" s="972"/>
      <c r="Q30" s="972"/>
      <c r="R30" s="972"/>
      <c r="S30" s="972"/>
      <c r="T30" s="972"/>
      <c r="U30" s="973"/>
      <c r="V30" s="961">
        <f>WIDECHAR(MID(CONCATENATE('演算'!$M$230,'演算'!$M$497,'演算'!$M$776,'演算'!$M$1055,'演算'!$M$1334),'演算'!$L$40*A30+1,'演算'!$L$40))</f>
      </c>
      <c r="W30" s="972"/>
      <c r="X30" s="973"/>
      <c r="Y30" s="1103">
        <f>WIDECHAR(MID(CONCATENATE('演算'!$M$231,'演算'!$M$498,'演算'!$M$777,'演算'!$M$1056,'演算'!$M$1335),'演算'!$L$49*A30+1,'演算'!$L$49))</f>
      </c>
      <c r="Z30" s="1104"/>
      <c r="AA30" s="1105"/>
      <c r="AB30" s="964">
        <f>MID(CONCATENATE('演算'!$M$232,'演算'!$M$499,'演算'!$M$778,'演算'!$M$1057,'演算'!$M$1336,REPT("　",130)),5*A30+1,5)</f>
      </c>
      <c r="AC30" s="969"/>
      <c r="AD30" s="1103">
        <f t="shared" si="0"/>
      </c>
      <c r="AE30" s="1104"/>
      <c r="AF30" s="952" t="str">
        <f t="shared" si="1"/>
        <v>～</v>
      </c>
      <c r="AG30" s="966">
        <f>MID(CONCATENATE('演算'!$M$233,'演算'!$M$500,'演算'!$M$779,'演算'!$M$1058,'演算'!$M$1337),5*A30+1,5)</f>
      </c>
      <c r="AH30" s="1104">
        <f t="shared" si="2"/>
      </c>
      <c r="AI30" s="1105"/>
      <c r="AJ30" s="953">
        <f>WIDECHAR(MID(CONCATENATE('演算'!$M$234,'演算'!$M$501,'演算'!$M$780,'演算'!$M$1059,'演算'!$M$1338),A30+1,1))</f>
      </c>
      <c r="AL30" s="184">
        <v>24</v>
      </c>
    </row>
    <row r="31" spans="1:38" ht="18" customHeight="1">
      <c r="A31" s="65">
        <v>105</v>
      </c>
      <c r="B31" s="1121">
        <f>WIDECHAR(MID(CONCATENATE('演算'!$Q$10,'演算'!$Q$242,'演算'!$Q$521,'演算'!$Q$800,'演算'!$Q$1079),'演算'!$L$10*A31+1,'演算'!$L$10))</f>
      </c>
      <c r="C31" s="1123"/>
      <c r="D31" s="961">
        <f>WIDECHAR(MID(CONCATENATE('演算'!$Q$18,'演算'!$Q$254,'演算'!$Q$533,'演算'!$Q$812,'演算'!$Q$1091),'演算'!$L$18*A31+1,'演算'!$L$18))</f>
      </c>
      <c r="E31" s="974"/>
      <c r="F31" s="974"/>
      <c r="G31" s="974"/>
      <c r="H31" s="975"/>
      <c r="I31" s="1121">
        <f>WIDECHAR(MID(CONCATENATE('演算'!$Q$25,'演算'!$Q$265,'演算'!$Q$544,'演算'!$Q$823,'演算'!$Q$1102),'演算'!$L$25*A31+1,'演算'!$L$25))</f>
      </c>
      <c r="J31" s="1122"/>
      <c r="K31" s="1122"/>
      <c r="L31" s="961">
        <f>WIDECHAR(MID(CONCATENATE('演算'!$M$229,'演算'!$M$496,'演算'!$M$775,'演算'!$M$1054,'演算'!$M$1333),'演算'!$L$32*A31+1,'演算'!$L$32))</f>
      </c>
      <c r="M31" s="967"/>
      <c r="N31" s="967"/>
      <c r="O31" s="974"/>
      <c r="P31" s="974"/>
      <c r="Q31" s="974"/>
      <c r="R31" s="974"/>
      <c r="S31" s="974"/>
      <c r="T31" s="974"/>
      <c r="U31" s="975"/>
      <c r="V31" s="961">
        <f>WIDECHAR(MID(CONCATENATE('演算'!$M$230,'演算'!$M$497,'演算'!$M$776,'演算'!$M$1055,'演算'!$M$1334),'演算'!$L$40*A31+1,'演算'!$L$40))</f>
      </c>
      <c r="W31" s="974"/>
      <c r="X31" s="975"/>
      <c r="Y31" s="1103">
        <f>WIDECHAR(MID(CONCATENATE('演算'!$M$231,'演算'!$M$498,'演算'!$M$777,'演算'!$M$1056,'演算'!$M$1335),'演算'!$L$49*A31+1,'演算'!$L$49))</f>
      </c>
      <c r="Z31" s="1104"/>
      <c r="AA31" s="1105"/>
      <c r="AB31" s="964">
        <f>MID(CONCATENATE('演算'!$M$232,'演算'!$M$499,'演算'!$M$778,'演算'!$M$1057,'演算'!$M$1336,REPT("　",130)),5*A31+1,5)</f>
      </c>
      <c r="AC31" s="969"/>
      <c r="AD31" s="1103">
        <f t="shared" si="0"/>
      </c>
      <c r="AE31" s="1104"/>
      <c r="AF31" s="952" t="str">
        <f t="shared" si="1"/>
        <v>～</v>
      </c>
      <c r="AG31" s="966">
        <f>MID(CONCATENATE('演算'!$M$233,'演算'!$M$500,'演算'!$M$779,'演算'!$M$1058,'演算'!$M$1337),5*A31+1,5)</f>
      </c>
      <c r="AH31" s="1104">
        <f t="shared" si="2"/>
      </c>
      <c r="AI31" s="1105"/>
      <c r="AJ31" s="953">
        <f>WIDECHAR(MID(CONCATENATE('演算'!$M$234,'演算'!$M$501,'演算'!$M$780,'演算'!$M$1059,'演算'!$M$1338),A31+1,1))</f>
      </c>
      <c r="AL31" s="184">
        <v>25</v>
      </c>
    </row>
    <row r="32" spans="1:38" ht="18" customHeight="1">
      <c r="A32" s="65">
        <v>106</v>
      </c>
      <c r="B32" s="1121">
        <f>WIDECHAR(MID(CONCATENATE('演算'!$Q$10,'演算'!$Q$242,'演算'!$Q$521,'演算'!$Q$800,'演算'!$Q$1079),'演算'!$L$10*A32+1,'演算'!$L$10))</f>
      </c>
      <c r="C32" s="1123"/>
      <c r="D32" s="961">
        <f>WIDECHAR(MID(CONCATENATE('演算'!$Q$18,'演算'!$Q$254,'演算'!$Q$533,'演算'!$Q$812,'演算'!$Q$1091),'演算'!$L$18*A32+1,'演算'!$L$18))</f>
      </c>
      <c r="E32" s="974"/>
      <c r="F32" s="974"/>
      <c r="G32" s="974"/>
      <c r="H32" s="975"/>
      <c r="I32" s="1121">
        <f>WIDECHAR(MID(CONCATENATE('演算'!$Q$25,'演算'!$Q$265,'演算'!$Q$544,'演算'!$Q$823,'演算'!$Q$1102),'演算'!$L$25*A32+1,'演算'!$L$25))</f>
      </c>
      <c r="J32" s="1122"/>
      <c r="K32" s="1122"/>
      <c r="L32" s="961">
        <f>WIDECHAR(MID(CONCATENATE('演算'!$M$229,'演算'!$M$496,'演算'!$M$775,'演算'!$M$1054,'演算'!$M$1333),'演算'!$L$32*A32+1,'演算'!$L$32))</f>
      </c>
      <c r="M32" s="967"/>
      <c r="N32" s="967"/>
      <c r="O32" s="974"/>
      <c r="P32" s="974"/>
      <c r="Q32" s="974"/>
      <c r="R32" s="974"/>
      <c r="S32" s="974"/>
      <c r="T32" s="974"/>
      <c r="U32" s="975"/>
      <c r="V32" s="961">
        <f>WIDECHAR(MID(CONCATENATE('演算'!$M$230,'演算'!$M$497,'演算'!$M$776,'演算'!$M$1055,'演算'!$M$1334),'演算'!$L$40*A32+1,'演算'!$L$40))</f>
      </c>
      <c r="W32" s="974"/>
      <c r="X32" s="975"/>
      <c r="Y32" s="1103">
        <f>WIDECHAR(MID(CONCATENATE('演算'!$M$231,'演算'!$M$498,'演算'!$M$777,'演算'!$M$1056,'演算'!$M$1335),'演算'!$L$49*A32+1,'演算'!$L$49))</f>
      </c>
      <c r="Z32" s="1104"/>
      <c r="AA32" s="1105"/>
      <c r="AB32" s="964">
        <f>MID(CONCATENATE('演算'!$M$232,'演算'!$M$499,'演算'!$M$778,'演算'!$M$1057,'演算'!$M$1336,REPT("　",130)),5*A32+1,5)</f>
      </c>
      <c r="AC32" s="969"/>
      <c r="AD32" s="1103">
        <f t="shared" si="0"/>
      </c>
      <c r="AE32" s="1104"/>
      <c r="AF32" s="952" t="str">
        <f t="shared" si="1"/>
        <v>～</v>
      </c>
      <c r="AG32" s="966">
        <f>MID(CONCATENATE('演算'!$M$233,'演算'!$M$500,'演算'!$M$779,'演算'!$M$1058,'演算'!$M$1337),5*A32+1,5)</f>
      </c>
      <c r="AH32" s="1104">
        <f t="shared" si="2"/>
      </c>
      <c r="AI32" s="1105"/>
      <c r="AJ32" s="953">
        <f>WIDECHAR(MID(CONCATENATE('演算'!$M$234,'演算'!$M$501,'演算'!$M$780,'演算'!$M$1059,'演算'!$M$1338),A32+1,1))</f>
      </c>
      <c r="AL32" s="184">
        <v>26</v>
      </c>
    </row>
    <row r="33" spans="1:38" ht="18" customHeight="1">
      <c r="A33" s="65">
        <v>107</v>
      </c>
      <c r="B33" s="1121">
        <f>WIDECHAR(MID(CONCATENATE('演算'!$Q$10,'演算'!$Q$242,'演算'!$Q$521,'演算'!$Q$800,'演算'!$Q$1079),'演算'!$L$10*A33+1,'演算'!$L$10))</f>
      </c>
      <c r="C33" s="1123"/>
      <c r="D33" s="961">
        <f>WIDECHAR(MID(CONCATENATE('演算'!$Q$18,'演算'!$Q$254,'演算'!$Q$533,'演算'!$Q$812,'演算'!$Q$1091),'演算'!$L$18*A33+1,'演算'!$L$18))</f>
      </c>
      <c r="E33" s="976"/>
      <c r="F33" s="976"/>
      <c r="G33" s="976"/>
      <c r="H33" s="1000"/>
      <c r="I33" s="1121">
        <f>WIDECHAR(MID(CONCATENATE('演算'!$Q$25,'演算'!$Q$265,'演算'!$Q$544,'演算'!$Q$823,'演算'!$Q$1102),'演算'!$L$25*A33+1,'演算'!$L$25))</f>
      </c>
      <c r="J33" s="1122"/>
      <c r="K33" s="1122"/>
      <c r="L33" s="961">
        <f>WIDECHAR(MID(CONCATENATE('演算'!$M$229,'演算'!$M$496,'演算'!$M$775,'演算'!$M$1054,'演算'!$M$1333),'演算'!$L$32*A33+1,'演算'!$L$32))</f>
      </c>
      <c r="M33" s="970"/>
      <c r="N33" s="970"/>
      <c r="O33" s="976"/>
      <c r="P33" s="976"/>
      <c r="Q33" s="976"/>
      <c r="R33" s="976"/>
      <c r="S33" s="976"/>
      <c r="T33" s="976"/>
      <c r="U33" s="977"/>
      <c r="V33" s="961">
        <f>WIDECHAR(MID(CONCATENATE('演算'!$M$230,'演算'!$M$497,'演算'!$M$776,'演算'!$M$1055,'演算'!$M$1334),'演算'!$L$40*A33+1,'演算'!$L$40))</f>
      </c>
      <c r="W33" s="976"/>
      <c r="X33" s="977"/>
      <c r="Y33" s="1103">
        <f>WIDECHAR(MID(CONCATENATE('演算'!$M$231,'演算'!$M$498,'演算'!$M$777,'演算'!$M$1056,'演算'!$M$1335),'演算'!$L$49*A33+1,'演算'!$L$49))</f>
      </c>
      <c r="Z33" s="1104"/>
      <c r="AA33" s="1105"/>
      <c r="AB33" s="964">
        <f>MID(CONCATENATE('演算'!$M$232,'演算'!$M$499,'演算'!$M$778,'演算'!$M$1057,'演算'!$M$1336,REPT("　",130)),5*A33+1,5)</f>
      </c>
      <c r="AC33" s="978"/>
      <c r="AD33" s="1106">
        <f>ASC(AB33)</f>
      </c>
      <c r="AE33" s="1107"/>
      <c r="AF33" s="979" t="str">
        <f>IF(AB33=0,"　",IF(AB33=REPT("　",5)," ","～"))</f>
        <v>～</v>
      </c>
      <c r="AG33" s="966">
        <f>MID(CONCATENATE('演算'!$M$233,'演算'!$M$500,'演算'!$M$779,'演算'!$M$1058,'演算'!$M$1337),5*A33+1,5)</f>
      </c>
      <c r="AH33" s="1107">
        <f>ASC(AG33)</f>
      </c>
      <c r="AI33" s="1098"/>
      <c r="AJ33" s="953">
        <f>WIDECHAR(MID(CONCATENATE('演算'!$M$234,'演算'!$M$501,'演算'!$M$780,'演算'!$M$1059,'演算'!$M$1338),A33+1,1))</f>
      </c>
      <c r="AL33" s="184">
        <v>27</v>
      </c>
    </row>
    <row r="34" spans="1:36" ht="6" customHeight="1">
      <c r="A34" s="180"/>
      <c r="B34" s="803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803"/>
      <c r="AB34" s="980"/>
      <c r="AC34" s="948"/>
      <c r="AD34" s="948"/>
      <c r="AE34" s="948"/>
      <c r="AF34" s="948"/>
      <c r="AG34" s="948"/>
      <c r="AH34" s="948"/>
      <c r="AI34" s="948"/>
      <c r="AJ34" s="803"/>
    </row>
    <row r="35" spans="2:36" ht="15" customHeight="1">
      <c r="B35" s="981"/>
      <c r="C35" s="981"/>
      <c r="D35" s="981"/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1"/>
      <c r="P35" s="981"/>
      <c r="Q35" s="981"/>
      <c r="R35" s="981"/>
      <c r="S35" s="981"/>
      <c r="T35" s="981"/>
      <c r="U35" s="981"/>
      <c r="V35" s="981"/>
      <c r="W35" s="814"/>
      <c r="X35" s="1108" t="s">
        <v>319</v>
      </c>
      <c r="Y35" s="1108"/>
      <c r="Z35" s="1108">
        <f>IF('記入シート'!R16=0,"",WIDECHAR('記入シート'!R16))</f>
      </c>
      <c r="AA35" s="1108"/>
      <c r="AB35" s="958" t="s">
        <v>405</v>
      </c>
      <c r="AC35" s="958" t="s">
        <v>405</v>
      </c>
      <c r="AD35" s="958" t="s">
        <v>405</v>
      </c>
      <c r="AE35" s="982">
        <f>IF('記入シート'!V16=0,"",WIDECHAR('記入シート'!V16))</f>
      </c>
      <c r="AF35" s="949" t="s">
        <v>406</v>
      </c>
      <c r="AG35" s="949"/>
      <c r="AH35" s="949">
        <f>IF('記入シート'!Y16=0,"",WIDECHAR('記入シート'!Y16))</f>
      </c>
      <c r="AI35" s="949" t="s">
        <v>409</v>
      </c>
      <c r="AJ35" s="981"/>
    </row>
  </sheetData>
  <sheetProtection sheet="1" objects="1" scenarios="1" selectLockedCells="1" selectUnlockedCells="1"/>
  <mergeCells count="154">
    <mergeCell ref="Z1:AA1"/>
    <mergeCell ref="D1:U1"/>
    <mergeCell ref="I32:K32"/>
    <mergeCell ref="I33:K33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3:K13"/>
    <mergeCell ref="I14:K14"/>
    <mergeCell ref="U3:Y3"/>
    <mergeCell ref="K3:L3"/>
    <mergeCell ref="I9:K9"/>
    <mergeCell ref="I10:K10"/>
    <mergeCell ref="I11:K11"/>
    <mergeCell ref="I12:K12"/>
    <mergeCell ref="Y14:AA14"/>
    <mergeCell ref="Y7:AA7"/>
    <mergeCell ref="X35:Y35"/>
    <mergeCell ref="Z35:AA3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22:AA22"/>
    <mergeCell ref="Y23:AA23"/>
    <mergeCell ref="Y24:AA24"/>
    <mergeCell ref="Y25:AA25"/>
    <mergeCell ref="Y18:AA18"/>
    <mergeCell ref="Y19:AA19"/>
    <mergeCell ref="Y20:AA20"/>
    <mergeCell ref="Y21:AA21"/>
    <mergeCell ref="Y15:AA15"/>
    <mergeCell ref="Y16:AA16"/>
    <mergeCell ref="Y17:AA17"/>
    <mergeCell ref="Y10:AA10"/>
    <mergeCell ref="Y11:AA11"/>
    <mergeCell ref="Y12:AA12"/>
    <mergeCell ref="Y13:AA13"/>
    <mergeCell ref="Y6:AA6"/>
    <mergeCell ref="Y8:AA8"/>
    <mergeCell ref="Y9:AA9"/>
    <mergeCell ref="AD33:AE33"/>
    <mergeCell ref="AD29:AE29"/>
    <mergeCell ref="AD25:AE25"/>
    <mergeCell ref="AD21:AE21"/>
    <mergeCell ref="AD17:AE17"/>
    <mergeCell ref="AD13:AE13"/>
    <mergeCell ref="AD9:AE9"/>
    <mergeCell ref="AH33:AI33"/>
    <mergeCell ref="AD31:AE31"/>
    <mergeCell ref="AH31:AI31"/>
    <mergeCell ref="AD32:AE32"/>
    <mergeCell ref="AH32:AI32"/>
    <mergeCell ref="AH29:AI29"/>
    <mergeCell ref="AD30:AE30"/>
    <mergeCell ref="AH30:AI30"/>
    <mergeCell ref="AD27:AE27"/>
    <mergeCell ref="AH27:AI27"/>
    <mergeCell ref="AD28:AE28"/>
    <mergeCell ref="AH28:AI28"/>
    <mergeCell ref="AH25:AI25"/>
    <mergeCell ref="AD26:AE26"/>
    <mergeCell ref="AH26:AI26"/>
    <mergeCell ref="AD23:AE23"/>
    <mergeCell ref="AH23:AI23"/>
    <mergeCell ref="AD24:AE24"/>
    <mergeCell ref="AH24:AI24"/>
    <mergeCell ref="AH21:AI21"/>
    <mergeCell ref="AD22:AE22"/>
    <mergeCell ref="AH22:AI22"/>
    <mergeCell ref="AD19:AE19"/>
    <mergeCell ref="AH19:AI19"/>
    <mergeCell ref="AD20:AE20"/>
    <mergeCell ref="AH20:AI20"/>
    <mergeCell ref="AH17:AI17"/>
    <mergeCell ref="AD18:AE18"/>
    <mergeCell ref="AH18:AI18"/>
    <mergeCell ref="AD15:AE15"/>
    <mergeCell ref="AH15:AI15"/>
    <mergeCell ref="AD16:AE16"/>
    <mergeCell ref="AH16:AI16"/>
    <mergeCell ref="AH13:AI13"/>
    <mergeCell ref="AD14:AE14"/>
    <mergeCell ref="AH14:AI14"/>
    <mergeCell ref="AD11:AE11"/>
    <mergeCell ref="AH11:AI11"/>
    <mergeCell ref="AD12:AE12"/>
    <mergeCell ref="AH12:AI12"/>
    <mergeCell ref="AH9:AI9"/>
    <mergeCell ref="AD10:AE10"/>
    <mergeCell ref="AH10:AI10"/>
    <mergeCell ref="AD7:AE7"/>
    <mergeCell ref="AH7:AI7"/>
    <mergeCell ref="AD8:AE8"/>
    <mergeCell ref="AH8:AI8"/>
    <mergeCell ref="B33:C33"/>
    <mergeCell ref="B29:C29"/>
    <mergeCell ref="B30:C30"/>
    <mergeCell ref="B31:C31"/>
    <mergeCell ref="B32:C32"/>
    <mergeCell ref="L5:AJ5"/>
    <mergeCell ref="V6:X6"/>
    <mergeCell ref="AB6:AI6"/>
    <mergeCell ref="I15:K15"/>
    <mergeCell ref="L6:U6"/>
    <mergeCell ref="B7:C7"/>
    <mergeCell ref="B8:C8"/>
    <mergeCell ref="I6:K6"/>
    <mergeCell ref="D6:H6"/>
    <mergeCell ref="I7:K7"/>
    <mergeCell ref="I8:K8"/>
    <mergeCell ref="B4:AJ4"/>
    <mergeCell ref="C3:D3"/>
    <mergeCell ref="H3:I3"/>
    <mergeCell ref="B26:C26"/>
    <mergeCell ref="B21:C21"/>
    <mergeCell ref="B20:C20"/>
    <mergeCell ref="B19:C19"/>
    <mergeCell ref="B18:C18"/>
    <mergeCell ref="B17:C17"/>
    <mergeCell ref="B16:C16"/>
    <mergeCell ref="B27:C27"/>
    <mergeCell ref="B28:C28"/>
    <mergeCell ref="B22:C22"/>
    <mergeCell ref="B23:C23"/>
    <mergeCell ref="B24:C24"/>
    <mergeCell ref="B25:C25"/>
    <mergeCell ref="B15:C15"/>
    <mergeCell ref="B14:C14"/>
    <mergeCell ref="B13:C13"/>
    <mergeCell ref="B12:C12"/>
    <mergeCell ref="D5:K5"/>
    <mergeCell ref="B5:C5"/>
    <mergeCell ref="B11:C11"/>
    <mergeCell ref="B10:C10"/>
    <mergeCell ref="B9:C9"/>
    <mergeCell ref="B6:C6"/>
  </mergeCells>
  <printOptions horizontalCentered="1"/>
  <pageMargins left="0" right="0" top="0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B1">
      <selection activeCell="D1" sqref="D1:U1"/>
    </sheetView>
  </sheetViews>
  <sheetFormatPr defaultColWidth="9.00390625" defaultRowHeight="13.5"/>
  <cols>
    <col min="1" max="1" width="4.625" style="0" hidden="1" customWidth="1"/>
    <col min="2" max="2" width="6.625" style="0" customWidth="1"/>
    <col min="3" max="3" width="15.75390625" style="0" customWidth="1"/>
    <col min="4" max="4" width="4.375" style="0" customWidth="1"/>
    <col min="5" max="6" width="2.50390625" style="0" customWidth="1"/>
    <col min="7" max="7" width="6.25390625" style="0" customWidth="1"/>
    <col min="8" max="8" width="3.125" style="0" customWidth="1"/>
    <col min="9" max="9" width="15.625" style="0" customWidth="1"/>
    <col min="10" max="10" width="2.50390625" style="0" customWidth="1"/>
    <col min="11" max="11" width="0.6171875" style="0" customWidth="1"/>
    <col min="12" max="12" width="5.75390625" style="0" customWidth="1"/>
    <col min="13" max="13" width="5.125" style="0" customWidth="1"/>
    <col min="14" max="14" width="2.875" style="0" customWidth="1"/>
    <col min="15" max="15" width="3.125" style="0" customWidth="1"/>
    <col min="16" max="16" width="2.375" style="0" customWidth="1"/>
    <col min="17" max="17" width="3.125" style="0" customWidth="1"/>
    <col min="18" max="19" width="2.50390625" style="0" customWidth="1"/>
    <col min="20" max="20" width="6.50390625" style="0" customWidth="1"/>
    <col min="21" max="21" width="2.25390625" style="0" customWidth="1"/>
    <col min="22" max="22" width="5.00390625" style="0" customWidth="1"/>
    <col min="23" max="23" width="4.50390625" style="0" customWidth="1"/>
    <col min="24" max="24" width="2.125" style="0" customWidth="1"/>
    <col min="25" max="25" width="6.125" style="0" customWidth="1"/>
    <col min="26" max="26" width="2.50390625" style="0" customWidth="1"/>
    <col min="27" max="27" width="3.125" style="0" customWidth="1"/>
    <col min="28" max="28" width="4.625" style="207" hidden="1" customWidth="1"/>
    <col min="29" max="29" width="4.625" style="1" hidden="1" customWidth="1"/>
    <col min="30" max="31" width="3.50390625" style="265" customWidth="1"/>
    <col min="32" max="32" width="3.625" style="1" customWidth="1"/>
    <col min="33" max="33" width="9.625" style="1" hidden="1" customWidth="1"/>
    <col min="34" max="35" width="3.625" style="190" customWidth="1"/>
    <col min="36" max="36" width="6.25390625" style="0" customWidth="1"/>
    <col min="37" max="37" width="1.25" style="0" customWidth="1"/>
    <col min="38" max="38" width="2.625" style="0" hidden="1" customWidth="1"/>
    <col min="39" max="39" width="0.6171875" style="0" customWidth="1"/>
  </cols>
  <sheetData>
    <row r="1" spans="2:36" ht="18.75" customHeight="1">
      <c r="B1" s="955" t="s">
        <v>390</v>
      </c>
      <c r="C1" s="956">
        <v>-5</v>
      </c>
      <c r="D1" s="1116" t="s">
        <v>391</v>
      </c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957"/>
      <c r="W1" s="957"/>
      <c r="X1" s="957"/>
      <c r="Y1" s="996" t="s">
        <v>499</v>
      </c>
      <c r="Z1" s="1100">
        <f>IF('記入シート'!C9="","",WIDECHAR('記入シート'!C9))</f>
      </c>
      <c r="AA1" s="1100"/>
      <c r="AB1" s="996"/>
      <c r="AC1" s="996"/>
      <c r="AD1" s="996" t="s">
        <v>405</v>
      </c>
      <c r="AE1" s="996">
        <f>IF('記入シート'!E9="","",WIDECHAR('記入シート'!E9))</f>
      </c>
      <c r="AF1" s="996" t="s">
        <v>406</v>
      </c>
      <c r="AG1" s="996"/>
      <c r="AH1" s="996">
        <f>IF('記入シート'!H9="","",WIDECHAR('記入シート'!H9))</f>
      </c>
      <c r="AI1" s="996" t="s">
        <v>500</v>
      </c>
      <c r="AJ1" s="957"/>
    </row>
    <row r="2" spans="2:36" ht="11.25" customHeigh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 t="s">
        <v>72</v>
      </c>
      <c r="AB2" s="814"/>
      <c r="AC2" s="814"/>
      <c r="AD2" s="814"/>
      <c r="AE2" s="814"/>
      <c r="AF2" s="814"/>
      <c r="AG2" s="814"/>
      <c r="AH2" s="814"/>
      <c r="AI2" s="814"/>
      <c r="AJ2" s="814"/>
    </row>
    <row r="3" spans="2:36" ht="15" customHeight="1">
      <c r="B3" s="958" t="s">
        <v>392</v>
      </c>
      <c r="C3" s="1109" t="str">
        <f>IF('記入シート'!C6=0," ",IF(LEN('記入シート'!C6)&gt;10,"※　文字数過多　※",WIDECHAR(LEFT('記入シート'!C6,10))))</f>
        <v> </v>
      </c>
      <c r="D3" s="1109"/>
      <c r="E3" s="950" t="s">
        <v>393</v>
      </c>
      <c r="F3" s="959"/>
      <c r="G3" s="949" t="s">
        <v>401</v>
      </c>
      <c r="H3" s="1109" t="str">
        <f>IF('記入シート'!C13=0," ",IF(LEN('記入シート'!C13)&gt;10,"※　文字数過多　※",WIDECHAR(LEFT('記入シート'!C13,10))))</f>
        <v> </v>
      </c>
      <c r="I3" s="1109"/>
      <c r="J3" s="959"/>
      <c r="K3" s="1100" t="s">
        <v>407</v>
      </c>
      <c r="L3" s="1100"/>
      <c r="M3" s="996">
        <f>IF('記入シート'!$C$16="","",WIDECHAR('記入シート'!$C$16))</f>
      </c>
      <c r="N3" s="996" t="s">
        <v>405</v>
      </c>
      <c r="O3" s="996">
        <f>IF('記入シート'!$E$16="","",WIDECHAR('記入シート'!$E$16))</f>
      </c>
      <c r="P3" s="1003" t="s">
        <v>406</v>
      </c>
      <c r="Q3" s="1001">
        <f>IF('記入シート'!H16="","",WIDECHAR('記入シート'!H16))</f>
      </c>
      <c r="R3" s="997" t="s">
        <v>409</v>
      </c>
      <c r="T3" s="954" t="s">
        <v>410</v>
      </c>
      <c r="U3" s="1109" t="str">
        <f>IF('記入シート'!C20=0," ",IF(LEN('記入シート'!C20)&gt;10,"※　文字数過多　※",WIDECHAR(LEFT('記入シート'!C20,10))))</f>
        <v> </v>
      </c>
      <c r="V3" s="1109"/>
      <c r="W3" s="1109"/>
      <c r="X3" s="1109"/>
      <c r="Y3" s="1109"/>
      <c r="Z3" s="814"/>
      <c r="AA3" s="982" t="s">
        <v>71</v>
      </c>
      <c r="AB3" s="982"/>
      <c r="AC3" s="982"/>
      <c r="AD3" s="982"/>
      <c r="AE3" s="982"/>
      <c r="AF3" s="982"/>
      <c r="AG3" s="982"/>
      <c r="AH3" s="982"/>
      <c r="AI3" s="982"/>
      <c r="AJ3" s="982"/>
    </row>
    <row r="4" spans="2:36" ht="6" customHeight="1"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8"/>
      <c r="AE4" s="1108"/>
      <c r="AF4" s="1108"/>
      <c r="AG4" s="1108"/>
      <c r="AH4" s="1108"/>
      <c r="AI4" s="1108"/>
      <c r="AJ4" s="1108"/>
    </row>
    <row r="5" spans="2:36" ht="17.25" customHeight="1">
      <c r="B5" s="1119" t="s">
        <v>394</v>
      </c>
      <c r="C5" s="1120"/>
      <c r="D5" s="1110" t="s">
        <v>395</v>
      </c>
      <c r="E5" s="1111"/>
      <c r="F5" s="1111"/>
      <c r="G5" s="1111"/>
      <c r="H5" s="1111"/>
      <c r="I5" s="1111"/>
      <c r="J5" s="1111"/>
      <c r="K5" s="1111"/>
      <c r="L5" s="1110" t="s">
        <v>396</v>
      </c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111"/>
      <c r="AE5" s="1111"/>
      <c r="AF5" s="1111"/>
      <c r="AG5" s="1111"/>
      <c r="AH5" s="1111"/>
      <c r="AI5" s="1111"/>
      <c r="AJ5" s="1112"/>
    </row>
    <row r="6" spans="2:36" ht="17.25" customHeight="1">
      <c r="B6" s="1113" t="s">
        <v>397</v>
      </c>
      <c r="C6" s="1114"/>
      <c r="D6" s="1110" t="s">
        <v>398</v>
      </c>
      <c r="E6" s="1111"/>
      <c r="F6" s="1111"/>
      <c r="G6" s="1111"/>
      <c r="H6" s="1112"/>
      <c r="I6" s="1110" t="s">
        <v>399</v>
      </c>
      <c r="J6" s="1111"/>
      <c r="K6" s="1111"/>
      <c r="L6" s="1110" t="s">
        <v>400</v>
      </c>
      <c r="M6" s="1111"/>
      <c r="N6" s="1111"/>
      <c r="O6" s="1111"/>
      <c r="P6" s="1111"/>
      <c r="Q6" s="1111"/>
      <c r="R6" s="1111"/>
      <c r="S6" s="1111"/>
      <c r="T6" s="1111"/>
      <c r="U6" s="1112"/>
      <c r="V6" s="1110" t="s">
        <v>401</v>
      </c>
      <c r="W6" s="1111"/>
      <c r="X6" s="1112"/>
      <c r="Y6" s="1110" t="s">
        <v>402</v>
      </c>
      <c r="Z6" s="1111"/>
      <c r="AA6" s="1112"/>
      <c r="AB6" s="1110" t="s">
        <v>403</v>
      </c>
      <c r="AC6" s="1111"/>
      <c r="AD6" s="1111"/>
      <c r="AE6" s="1111"/>
      <c r="AF6" s="1111"/>
      <c r="AG6" s="1111"/>
      <c r="AH6" s="1111"/>
      <c r="AI6" s="1112"/>
      <c r="AJ6" s="960" t="s">
        <v>404</v>
      </c>
    </row>
    <row r="7" spans="1:38" s="65" customFormat="1" ht="18" customHeight="1">
      <c r="A7" s="65">
        <v>108</v>
      </c>
      <c r="B7" s="1121">
        <f>WIDECHAR(MID(CONCATENATE('演算'!$Q$10,'演算'!$Q$242,'演算'!$Q$521,'演算'!$Q$800,'演算'!$Q$1079),'演算'!$L$10*A7+1,'演算'!$L$10))</f>
      </c>
      <c r="C7" s="1123"/>
      <c r="D7" s="961">
        <f>WIDECHAR(MID(CONCATENATE('演算'!$Q$18,'演算'!$Q$254,'演算'!$Q$533,'演算'!$Q$812,'演算'!$Q$1091),'演算'!$L$18*A7+1,'演算'!$L$18))</f>
      </c>
      <c r="E7" s="962"/>
      <c r="F7" s="962"/>
      <c r="G7" s="962"/>
      <c r="H7" s="999"/>
      <c r="I7" s="1121">
        <f>WIDECHAR(MID(CONCATENATE('演算'!$Q$25,'演算'!$Q$265,'演算'!$Q$544,'演算'!$Q$823,'演算'!$Q$1102),'演算'!$L$25*A7+1,'演算'!$L$25))</f>
      </c>
      <c r="J7" s="1122"/>
      <c r="K7" s="1122"/>
      <c r="L7" s="961">
        <f>WIDECHAR(MID(CONCATENATE('演算'!$M$229,'演算'!$M$496,'演算'!$M$775,'演算'!$M$1054,'演算'!$M$1333),'演算'!$L$32*A7+1,'演算'!$L$32))</f>
      </c>
      <c r="M7" s="998"/>
      <c r="N7" s="998"/>
      <c r="O7" s="962"/>
      <c r="P7" s="962"/>
      <c r="Q7" s="962"/>
      <c r="R7" s="962"/>
      <c r="S7" s="962"/>
      <c r="T7" s="962"/>
      <c r="U7" s="963"/>
      <c r="V7" s="961">
        <f>WIDECHAR(MID(CONCATENATE('演算'!$M$230,'演算'!$M$497,'演算'!$M$776,'演算'!$M$1055,'演算'!$M$1334),'演算'!$L$40*A7+1,'演算'!$L$40))</f>
      </c>
      <c r="W7" s="962"/>
      <c r="X7" s="963"/>
      <c r="Y7" s="1103">
        <f>WIDECHAR(MID(CONCATENATE('演算'!$M$231,'演算'!$M$498,'演算'!$M$777,'演算'!$M$1056,'演算'!$M$1335),'演算'!$L$49*A7+1,'演算'!$L$49))</f>
      </c>
      <c r="Z7" s="1104"/>
      <c r="AA7" s="1105"/>
      <c r="AB7" s="964">
        <f>MID(CONCATENATE('演算'!$M$232,'演算'!$M$499,'演算'!$M$778,'演算'!$M$1057,'演算'!$M$1336,REPT("　",130)),5*A7+1,5)</f>
      </c>
      <c r="AC7" s="965"/>
      <c r="AD7" s="1115">
        <f>ASC(AB7)</f>
      </c>
      <c r="AE7" s="1101"/>
      <c r="AF7" s="952" t="str">
        <f>IF(AB7=0,"　",IF(AB7="　　　　　"," ","～"))</f>
        <v>～</v>
      </c>
      <c r="AG7" s="966">
        <f>MID(CONCATENATE('演算'!$M$233,'演算'!$M$500,'演算'!$M$779,'演算'!$M$1058,'演算'!$M$1337),5*A7+1,5)</f>
      </c>
      <c r="AH7" s="1101">
        <f>ASC(AG7)</f>
      </c>
      <c r="AI7" s="1102"/>
      <c r="AJ7" s="953">
        <f>WIDECHAR(MID(CONCATENATE('演算'!$M$234,'演算'!$M$501,'演算'!$M$780,'演算'!$M$1059,'演算'!$M$1338),A7+1,1))</f>
      </c>
      <c r="AL7" s="184">
        <v>1</v>
      </c>
    </row>
    <row r="8" spans="1:38" s="65" customFormat="1" ht="18" customHeight="1">
      <c r="A8" s="65">
        <v>109</v>
      </c>
      <c r="B8" s="1121">
        <f>WIDECHAR(MID(CONCATENATE('演算'!$Q$10,'演算'!$Q$242,'演算'!$Q$521,'演算'!$Q$800,'演算'!$Q$1079),'演算'!$L$10*A8+1,'演算'!$L$10))</f>
      </c>
      <c r="C8" s="1123"/>
      <c r="D8" s="961">
        <f>WIDECHAR(MID(CONCATENATE('演算'!$Q$18,'演算'!$Q$254,'演算'!$Q$533,'演算'!$Q$812,'演算'!$Q$1091),'演算'!$L$18*A8+1,'演算'!$L$18))</f>
      </c>
      <c r="E8" s="967"/>
      <c r="F8" s="967"/>
      <c r="G8" s="967"/>
      <c r="H8" s="968"/>
      <c r="I8" s="1121">
        <f>WIDECHAR(MID(CONCATENATE('演算'!$Q$25,'演算'!$Q$265,'演算'!$Q$544,'演算'!$Q$823,'演算'!$Q$1102),'演算'!$L$25*A8+1,'演算'!$L$25))</f>
      </c>
      <c r="J8" s="1122"/>
      <c r="K8" s="1122"/>
      <c r="L8" s="961">
        <f>WIDECHAR(MID(CONCATENATE('演算'!$M$229,'演算'!$M$496,'演算'!$M$775,'演算'!$M$1054,'演算'!$M$1333),'演算'!$L$32*A8+1,'演算'!$L$32))</f>
      </c>
      <c r="M8" s="967"/>
      <c r="N8" s="967"/>
      <c r="O8" s="967"/>
      <c r="P8" s="967"/>
      <c r="Q8" s="967"/>
      <c r="R8" s="967"/>
      <c r="S8" s="967"/>
      <c r="T8" s="967"/>
      <c r="U8" s="968"/>
      <c r="V8" s="961">
        <f>WIDECHAR(MID(CONCATENATE('演算'!$M$230,'演算'!$M$497,'演算'!$M$776,'演算'!$M$1055,'演算'!$M$1334),'演算'!$L$40*A8+1,'演算'!$L$40))</f>
      </c>
      <c r="W8" s="967"/>
      <c r="X8" s="968"/>
      <c r="Y8" s="1103">
        <f>WIDECHAR(MID(CONCATENATE('演算'!$M$231,'演算'!$M$498,'演算'!$M$777,'演算'!$M$1056,'演算'!$M$1335),'演算'!$L$49*A8+1,'演算'!$L$49))</f>
      </c>
      <c r="Z8" s="1104"/>
      <c r="AA8" s="1105"/>
      <c r="AB8" s="964">
        <f>MID(CONCATENATE('演算'!$M$232,'演算'!$M$499,'演算'!$M$778,'演算'!$M$1057,'演算'!$M$1336,REPT("　",130)),5*A8+1,5)</f>
      </c>
      <c r="AC8" s="969"/>
      <c r="AD8" s="1103">
        <f>ASC(AB8)</f>
      </c>
      <c r="AE8" s="1104"/>
      <c r="AF8" s="952" t="str">
        <f>IF(AB8=0,"　",IF(AB8=REPT("　",5)," ","～"))</f>
        <v>～</v>
      </c>
      <c r="AG8" s="966">
        <f>MID(CONCATENATE('演算'!$M$233,'演算'!$M$500,'演算'!$M$779,'演算'!$M$1058,'演算'!$M$1337),5*A8+1,5)</f>
      </c>
      <c r="AH8" s="1104">
        <f>ASC(AG8)</f>
      </c>
      <c r="AI8" s="1105"/>
      <c r="AJ8" s="953">
        <f>WIDECHAR(MID(CONCATENATE('演算'!$M$234,'演算'!$M$501,'演算'!$M$780,'演算'!$M$1059,'演算'!$M$1338),A8+1,1))</f>
      </c>
      <c r="AL8" s="184">
        <v>2</v>
      </c>
    </row>
    <row r="9" spans="1:38" s="65" customFormat="1" ht="18" customHeight="1">
      <c r="A9" s="65">
        <v>110</v>
      </c>
      <c r="B9" s="1121">
        <f>WIDECHAR(MID(CONCATENATE('演算'!$Q$10,'演算'!$Q$242,'演算'!$Q$521,'演算'!$Q$800,'演算'!$Q$1079),'演算'!$L$10*A9+1,'演算'!$L$10))</f>
      </c>
      <c r="C9" s="1123"/>
      <c r="D9" s="961">
        <f>WIDECHAR(MID(CONCATENATE('演算'!$Q$18,'演算'!$Q$254,'演算'!$Q$533,'演算'!$Q$812,'演算'!$Q$1091),'演算'!$L$18*A9+1,'演算'!$L$18))</f>
      </c>
      <c r="E9" s="967"/>
      <c r="F9" s="967"/>
      <c r="G9" s="967"/>
      <c r="H9" s="968"/>
      <c r="I9" s="1121">
        <f>WIDECHAR(MID(CONCATENATE('演算'!$Q$25,'演算'!$Q$265,'演算'!$Q$544,'演算'!$Q$823,'演算'!$Q$1102),'演算'!$L$25*A9+1,'演算'!$L$25))</f>
      </c>
      <c r="J9" s="1122"/>
      <c r="K9" s="1122"/>
      <c r="L9" s="961">
        <f>WIDECHAR(MID(CONCATENATE('演算'!$M$229,'演算'!$M$496,'演算'!$M$775,'演算'!$M$1054,'演算'!$M$1333),'演算'!$L$32*A9+1,'演算'!$L$32))</f>
      </c>
      <c r="M9" s="967"/>
      <c r="N9" s="967"/>
      <c r="O9" s="967"/>
      <c r="P9" s="967"/>
      <c r="Q9" s="967"/>
      <c r="R9" s="967"/>
      <c r="S9" s="967"/>
      <c r="T9" s="967"/>
      <c r="U9" s="968"/>
      <c r="V9" s="961">
        <f>WIDECHAR(MID(CONCATENATE('演算'!$M$230,'演算'!$M$497,'演算'!$M$776,'演算'!$M$1055,'演算'!$M$1334),'演算'!$L$40*A9+1,'演算'!$L$40))</f>
      </c>
      <c r="W9" s="967"/>
      <c r="X9" s="968"/>
      <c r="Y9" s="1103">
        <f>WIDECHAR(MID(CONCATENATE('演算'!$M$231,'演算'!$M$498,'演算'!$M$777,'演算'!$M$1056,'演算'!$M$1335),'演算'!$L$49*A9+1,'演算'!$L$49))</f>
      </c>
      <c r="Z9" s="1104"/>
      <c r="AA9" s="1105"/>
      <c r="AB9" s="964">
        <f>MID(CONCATENATE('演算'!$M$232,'演算'!$M$499,'演算'!$M$778,'演算'!$M$1057,'演算'!$M$1336,REPT("　",130)),5*A9+1,5)</f>
      </c>
      <c r="AC9" s="969"/>
      <c r="AD9" s="1103">
        <f aca="true" t="shared" si="0" ref="AD9:AD32">ASC(AB9)</f>
      </c>
      <c r="AE9" s="1104"/>
      <c r="AF9" s="952" t="str">
        <f aca="true" t="shared" si="1" ref="AF9:AF32">IF(AB9=0,"　",IF(AB9=REPT("　",5)," ","～"))</f>
        <v>～</v>
      </c>
      <c r="AG9" s="966">
        <f>MID(CONCATENATE('演算'!$M$233,'演算'!$M$500,'演算'!$M$779,'演算'!$M$1058,'演算'!$M$1337),5*A9+1,5)</f>
      </c>
      <c r="AH9" s="1104">
        <f aca="true" t="shared" si="2" ref="AH9:AH32">ASC(AG9)</f>
      </c>
      <c r="AI9" s="1105"/>
      <c r="AJ9" s="953">
        <f>WIDECHAR(MID(CONCATENATE('演算'!$M$234,'演算'!$M$501,'演算'!$M$780,'演算'!$M$1059,'演算'!$M$1338),A9+1,1))</f>
      </c>
      <c r="AL9" s="184">
        <v>3</v>
      </c>
    </row>
    <row r="10" spans="1:38" s="65" customFormat="1" ht="18" customHeight="1">
      <c r="A10" s="65">
        <v>111</v>
      </c>
      <c r="B10" s="1121">
        <f>WIDECHAR(MID(CONCATENATE('演算'!$Q$10,'演算'!$Q$242,'演算'!$Q$521,'演算'!$Q$800,'演算'!$Q$1079),'演算'!$L$10*A10+1,'演算'!$L$10))</f>
      </c>
      <c r="C10" s="1123"/>
      <c r="D10" s="961">
        <f>WIDECHAR(MID(CONCATENATE('演算'!$Q$18,'演算'!$Q$254,'演算'!$Q$533,'演算'!$Q$812,'演算'!$Q$1091),'演算'!$L$18*A10+1,'演算'!$L$18))</f>
      </c>
      <c r="E10" s="967"/>
      <c r="F10" s="967"/>
      <c r="G10" s="967"/>
      <c r="H10" s="968"/>
      <c r="I10" s="1121">
        <f>WIDECHAR(MID(CONCATENATE('演算'!$Q$25,'演算'!$Q$265,'演算'!$Q$544,'演算'!$Q$823,'演算'!$Q$1102),'演算'!$L$25*A10+1,'演算'!$L$25))</f>
      </c>
      <c r="J10" s="1122"/>
      <c r="K10" s="1122"/>
      <c r="L10" s="961">
        <f>WIDECHAR(MID(CONCATENATE('演算'!$M$229,'演算'!$M$496,'演算'!$M$775,'演算'!$M$1054,'演算'!$M$1333),'演算'!$L$32*A10+1,'演算'!$L$32))</f>
      </c>
      <c r="M10" s="967"/>
      <c r="N10" s="967"/>
      <c r="O10" s="967"/>
      <c r="P10" s="967"/>
      <c r="Q10" s="967"/>
      <c r="R10" s="967"/>
      <c r="S10" s="967"/>
      <c r="T10" s="967"/>
      <c r="U10" s="968"/>
      <c r="V10" s="961">
        <f>WIDECHAR(MID(CONCATENATE('演算'!$M$230,'演算'!$M$497,'演算'!$M$776,'演算'!$M$1055,'演算'!$M$1334),'演算'!$L$40*A10+1,'演算'!$L$40))</f>
      </c>
      <c r="W10" s="967"/>
      <c r="X10" s="968"/>
      <c r="Y10" s="1103">
        <f>WIDECHAR(MID(CONCATENATE('演算'!$M$231,'演算'!$M$498,'演算'!$M$777,'演算'!$M$1056,'演算'!$M$1335),'演算'!$L$49*A10+1,'演算'!$L$49))</f>
      </c>
      <c r="Z10" s="1104"/>
      <c r="AA10" s="1105"/>
      <c r="AB10" s="964">
        <f>MID(CONCATENATE('演算'!$M$232,'演算'!$M$499,'演算'!$M$778,'演算'!$M$1057,'演算'!$M$1336,REPT("　",130)),5*A10+1,5)</f>
      </c>
      <c r="AC10" s="969"/>
      <c r="AD10" s="1103">
        <f t="shared" si="0"/>
      </c>
      <c r="AE10" s="1104"/>
      <c r="AF10" s="952" t="str">
        <f t="shared" si="1"/>
        <v>～</v>
      </c>
      <c r="AG10" s="966">
        <f>MID(CONCATENATE('演算'!$M$233,'演算'!$M$500,'演算'!$M$779,'演算'!$M$1058,'演算'!$M$1337),5*A10+1,5)</f>
      </c>
      <c r="AH10" s="1104">
        <f t="shared" si="2"/>
      </c>
      <c r="AI10" s="1105"/>
      <c r="AJ10" s="953">
        <f>WIDECHAR(MID(CONCATENATE('演算'!$M$234,'演算'!$M$501,'演算'!$M$780,'演算'!$M$1059,'演算'!$M$1338),A10+1,1))</f>
      </c>
      <c r="AL10" s="184">
        <v>4</v>
      </c>
    </row>
    <row r="11" spans="1:38" s="65" customFormat="1" ht="18" customHeight="1">
      <c r="A11" s="65">
        <v>112</v>
      </c>
      <c r="B11" s="1121">
        <f>WIDECHAR(MID(CONCATENATE('演算'!$Q$10,'演算'!$Q$242,'演算'!$Q$521,'演算'!$Q$800,'演算'!$Q$1079),'演算'!$L$10*A11+1,'演算'!$L$10))</f>
      </c>
      <c r="C11" s="1123"/>
      <c r="D11" s="961">
        <f>WIDECHAR(MID(CONCATENATE('演算'!$Q$18,'演算'!$Q$254,'演算'!$Q$533,'演算'!$Q$812,'演算'!$Q$1091),'演算'!$L$18*A11+1,'演算'!$L$18))</f>
      </c>
      <c r="E11" s="967"/>
      <c r="F11" s="967"/>
      <c r="G11" s="967"/>
      <c r="H11" s="968"/>
      <c r="I11" s="1121">
        <f>WIDECHAR(MID(CONCATENATE('演算'!$Q$25,'演算'!$Q$265,'演算'!$Q$544,'演算'!$Q$823,'演算'!$Q$1102),'演算'!$L$25*A11+1,'演算'!$L$25))</f>
      </c>
      <c r="J11" s="1122"/>
      <c r="K11" s="1122"/>
      <c r="L11" s="961">
        <f>WIDECHAR(MID(CONCATENATE('演算'!$M$229,'演算'!$M$496,'演算'!$M$775,'演算'!$M$1054,'演算'!$M$1333),'演算'!$L$32*A11+1,'演算'!$L$32))</f>
      </c>
      <c r="M11" s="967"/>
      <c r="N11" s="967"/>
      <c r="O11" s="967"/>
      <c r="P11" s="967"/>
      <c r="Q11" s="967"/>
      <c r="R11" s="967"/>
      <c r="S11" s="967"/>
      <c r="T11" s="967"/>
      <c r="U11" s="968"/>
      <c r="V11" s="961">
        <f>WIDECHAR(MID(CONCATENATE('演算'!$M$230,'演算'!$M$497,'演算'!$M$776,'演算'!$M$1055,'演算'!$M$1334),'演算'!$L$40*A11+1,'演算'!$L$40))</f>
      </c>
      <c r="W11" s="967"/>
      <c r="X11" s="968"/>
      <c r="Y11" s="1103">
        <f>WIDECHAR(MID(CONCATENATE('演算'!$M$231,'演算'!$M$498,'演算'!$M$777,'演算'!$M$1056,'演算'!$M$1335),'演算'!$L$49*A11+1,'演算'!$L$49))</f>
      </c>
      <c r="Z11" s="1104"/>
      <c r="AA11" s="1105"/>
      <c r="AB11" s="964">
        <f>MID(CONCATENATE('演算'!$M$232,'演算'!$M$499,'演算'!$M$778,'演算'!$M$1057,'演算'!$M$1336,REPT("　",130)),5*A11+1,5)</f>
      </c>
      <c r="AC11" s="969"/>
      <c r="AD11" s="1103">
        <f t="shared" si="0"/>
      </c>
      <c r="AE11" s="1104"/>
      <c r="AF11" s="952" t="str">
        <f t="shared" si="1"/>
        <v>～</v>
      </c>
      <c r="AG11" s="966">
        <f>MID(CONCATENATE('演算'!$M$233,'演算'!$M$500,'演算'!$M$779,'演算'!$M$1058,'演算'!$M$1337),5*A11+1,5)</f>
      </c>
      <c r="AH11" s="1104">
        <f t="shared" si="2"/>
      </c>
      <c r="AI11" s="1105"/>
      <c r="AJ11" s="953">
        <f>WIDECHAR(MID(CONCATENATE('演算'!$M$234,'演算'!$M$501,'演算'!$M$780,'演算'!$M$1059,'演算'!$M$1338),A11+1,1))</f>
      </c>
      <c r="AL11" s="184">
        <v>5</v>
      </c>
    </row>
    <row r="12" spans="1:38" s="65" customFormat="1" ht="18" customHeight="1">
      <c r="A12" s="65">
        <v>113</v>
      </c>
      <c r="B12" s="1121">
        <f>WIDECHAR(MID(CONCATENATE('演算'!$Q$10,'演算'!$Q$242,'演算'!$Q$521,'演算'!$Q$800,'演算'!$Q$1079),'演算'!$L$10*A12+1,'演算'!$L$10))</f>
      </c>
      <c r="C12" s="1123"/>
      <c r="D12" s="961">
        <f>WIDECHAR(MID(CONCATENATE('演算'!$Q$18,'演算'!$Q$254,'演算'!$Q$533,'演算'!$Q$812,'演算'!$Q$1091),'演算'!$L$18*A12+1,'演算'!$L$18))</f>
      </c>
      <c r="E12" s="967"/>
      <c r="F12" s="967"/>
      <c r="G12" s="967"/>
      <c r="H12" s="968"/>
      <c r="I12" s="1121">
        <f>WIDECHAR(MID(CONCATENATE('演算'!$Q$25,'演算'!$Q$265,'演算'!$Q$544,'演算'!$Q$823,'演算'!$Q$1102),'演算'!$L$25*A12+1,'演算'!$L$25))</f>
      </c>
      <c r="J12" s="1122"/>
      <c r="K12" s="1122"/>
      <c r="L12" s="961">
        <f>WIDECHAR(MID(CONCATENATE('演算'!$M$229,'演算'!$M$496,'演算'!$M$775,'演算'!$M$1054,'演算'!$M$1333),'演算'!$L$32*A12+1,'演算'!$L$32))</f>
      </c>
      <c r="M12" s="967"/>
      <c r="N12" s="967"/>
      <c r="O12" s="967"/>
      <c r="P12" s="967"/>
      <c r="Q12" s="967"/>
      <c r="R12" s="967"/>
      <c r="S12" s="967"/>
      <c r="T12" s="967"/>
      <c r="U12" s="968"/>
      <c r="V12" s="961">
        <f>WIDECHAR(MID(CONCATENATE('演算'!$M$230,'演算'!$M$497,'演算'!$M$776,'演算'!$M$1055,'演算'!$M$1334),'演算'!$L$40*A12+1,'演算'!$L$40))</f>
      </c>
      <c r="W12" s="967"/>
      <c r="X12" s="968"/>
      <c r="Y12" s="1103">
        <f>WIDECHAR(MID(CONCATENATE('演算'!$M$231,'演算'!$M$498,'演算'!$M$777,'演算'!$M$1056,'演算'!$M$1335),'演算'!$L$49*A12+1,'演算'!$L$49))</f>
      </c>
      <c r="Z12" s="1104"/>
      <c r="AA12" s="1105"/>
      <c r="AB12" s="964">
        <f>MID(CONCATENATE('演算'!$M$232,'演算'!$M$499,'演算'!$M$778,'演算'!$M$1057,'演算'!$M$1336,REPT("　",130)),5*A12+1,5)</f>
      </c>
      <c r="AC12" s="969"/>
      <c r="AD12" s="1103">
        <f t="shared" si="0"/>
      </c>
      <c r="AE12" s="1104"/>
      <c r="AF12" s="952" t="str">
        <f t="shared" si="1"/>
        <v>～</v>
      </c>
      <c r="AG12" s="966">
        <f>MID(CONCATENATE('演算'!$M$233,'演算'!$M$500,'演算'!$M$779,'演算'!$M$1058,'演算'!$M$1337),5*A12+1,5)</f>
      </c>
      <c r="AH12" s="1104">
        <f t="shared" si="2"/>
      </c>
      <c r="AI12" s="1105"/>
      <c r="AJ12" s="953">
        <f>WIDECHAR(MID(CONCATENATE('演算'!$M$234,'演算'!$M$501,'演算'!$M$780,'演算'!$M$1059,'演算'!$M$1338),A12+1,1))</f>
      </c>
      <c r="AL12" s="184">
        <v>6</v>
      </c>
    </row>
    <row r="13" spans="1:38" s="65" customFormat="1" ht="18" customHeight="1">
      <c r="A13" s="65">
        <v>114</v>
      </c>
      <c r="B13" s="1121">
        <f>WIDECHAR(MID(CONCATENATE('演算'!$Q$10,'演算'!$Q$242,'演算'!$Q$521,'演算'!$Q$800,'演算'!$Q$1079),'演算'!$L$10*A13+1,'演算'!$L$10))</f>
      </c>
      <c r="C13" s="1123"/>
      <c r="D13" s="961">
        <f>WIDECHAR(MID(CONCATENATE('演算'!$Q$18,'演算'!$Q$254,'演算'!$Q$533,'演算'!$Q$812,'演算'!$Q$1091),'演算'!$L$18*A13+1,'演算'!$L$18))</f>
      </c>
      <c r="E13" s="967"/>
      <c r="F13" s="967"/>
      <c r="G13" s="967"/>
      <c r="H13" s="968"/>
      <c r="I13" s="1121">
        <f>WIDECHAR(MID(CONCATENATE('演算'!$Q$25,'演算'!$Q$265,'演算'!$Q$544,'演算'!$Q$823,'演算'!$Q$1102),'演算'!$L$25*A13+1,'演算'!$L$25))</f>
      </c>
      <c r="J13" s="1122"/>
      <c r="K13" s="1122"/>
      <c r="L13" s="961">
        <f>WIDECHAR(MID(CONCATENATE('演算'!$M$229,'演算'!$M$496,'演算'!$M$775,'演算'!$M$1054,'演算'!$M$1333),'演算'!$L$32*A13+1,'演算'!$L$32))</f>
      </c>
      <c r="M13" s="967"/>
      <c r="N13" s="967"/>
      <c r="O13" s="967"/>
      <c r="P13" s="967"/>
      <c r="Q13" s="967"/>
      <c r="R13" s="967"/>
      <c r="S13" s="967"/>
      <c r="T13" s="967"/>
      <c r="U13" s="968"/>
      <c r="V13" s="961">
        <f>WIDECHAR(MID(CONCATENATE('演算'!$M$230,'演算'!$M$497,'演算'!$M$776,'演算'!$M$1055,'演算'!$M$1334),'演算'!$L$40*A13+1,'演算'!$L$40))</f>
      </c>
      <c r="W13" s="967"/>
      <c r="X13" s="968"/>
      <c r="Y13" s="1103">
        <f>WIDECHAR(MID(CONCATENATE('演算'!$M$231,'演算'!$M$498,'演算'!$M$777,'演算'!$M$1056,'演算'!$M$1335),'演算'!$L$49*A13+1,'演算'!$L$49))</f>
      </c>
      <c r="Z13" s="1104"/>
      <c r="AA13" s="1105"/>
      <c r="AB13" s="964">
        <f>MID(CONCATENATE('演算'!$M$232,'演算'!$M$499,'演算'!$M$778,'演算'!$M$1057,'演算'!$M$1336,REPT("　",130)),5*A13+1,5)</f>
      </c>
      <c r="AC13" s="969"/>
      <c r="AD13" s="1103">
        <f t="shared" si="0"/>
      </c>
      <c r="AE13" s="1104"/>
      <c r="AF13" s="952" t="str">
        <f t="shared" si="1"/>
        <v>～</v>
      </c>
      <c r="AG13" s="966">
        <f>MID(CONCATENATE('演算'!$M$233,'演算'!$M$500,'演算'!$M$779,'演算'!$M$1058,'演算'!$M$1337),5*A13+1,5)</f>
      </c>
      <c r="AH13" s="1104">
        <f t="shared" si="2"/>
      </c>
      <c r="AI13" s="1105"/>
      <c r="AJ13" s="953">
        <f>WIDECHAR(MID(CONCATENATE('演算'!$M$234,'演算'!$M$501,'演算'!$M$780,'演算'!$M$1059,'演算'!$M$1338),A13+1,1))</f>
      </c>
      <c r="AL13" s="184">
        <v>7</v>
      </c>
    </row>
    <row r="14" spans="1:38" s="65" customFormat="1" ht="18" customHeight="1">
      <c r="A14" s="65">
        <v>115</v>
      </c>
      <c r="B14" s="1121">
        <f>WIDECHAR(MID(CONCATENATE('演算'!$Q$10,'演算'!$Q$242,'演算'!$Q$521,'演算'!$Q$800,'演算'!$Q$1079),'演算'!$L$10*A14+1,'演算'!$L$10))</f>
      </c>
      <c r="C14" s="1123"/>
      <c r="D14" s="961">
        <f>WIDECHAR(MID(CONCATENATE('演算'!$Q$18,'演算'!$Q$254,'演算'!$Q$533,'演算'!$Q$812,'演算'!$Q$1091),'演算'!$L$18*A14+1,'演算'!$L$18))</f>
      </c>
      <c r="E14" s="967"/>
      <c r="F14" s="967"/>
      <c r="G14" s="967"/>
      <c r="H14" s="968"/>
      <c r="I14" s="1121">
        <f>WIDECHAR(MID(CONCATENATE('演算'!$Q$25,'演算'!$Q$265,'演算'!$Q$544,'演算'!$Q$823,'演算'!$Q$1102),'演算'!$L$25*A14+1,'演算'!$L$25))</f>
      </c>
      <c r="J14" s="1122"/>
      <c r="K14" s="1122"/>
      <c r="L14" s="961">
        <f>WIDECHAR(MID(CONCATENATE('演算'!$M$229,'演算'!$M$496,'演算'!$M$775,'演算'!$M$1054,'演算'!$M$1333),'演算'!$L$32*A14+1,'演算'!$L$32))</f>
      </c>
      <c r="M14" s="967"/>
      <c r="N14" s="967"/>
      <c r="O14" s="967"/>
      <c r="P14" s="967"/>
      <c r="Q14" s="967"/>
      <c r="R14" s="967"/>
      <c r="S14" s="967"/>
      <c r="T14" s="967"/>
      <c r="U14" s="968"/>
      <c r="V14" s="961">
        <f>WIDECHAR(MID(CONCATENATE('演算'!$M$230,'演算'!$M$497,'演算'!$M$776,'演算'!$M$1055,'演算'!$M$1334),'演算'!$L$40*A14+1,'演算'!$L$40))</f>
      </c>
      <c r="W14" s="967"/>
      <c r="X14" s="968"/>
      <c r="Y14" s="1103">
        <f>WIDECHAR(MID(CONCATENATE('演算'!$M$231,'演算'!$M$498,'演算'!$M$777,'演算'!$M$1056,'演算'!$M$1335),'演算'!$L$49*A14+1,'演算'!$L$49))</f>
      </c>
      <c r="Z14" s="1104"/>
      <c r="AA14" s="1105"/>
      <c r="AB14" s="964">
        <f>MID(CONCATENATE('演算'!$M$232,'演算'!$M$499,'演算'!$M$778,'演算'!$M$1057,'演算'!$M$1336,REPT("　",130)),5*A14+1,5)</f>
      </c>
      <c r="AC14" s="969"/>
      <c r="AD14" s="1103">
        <f t="shared" si="0"/>
      </c>
      <c r="AE14" s="1104"/>
      <c r="AF14" s="952" t="str">
        <f t="shared" si="1"/>
        <v>～</v>
      </c>
      <c r="AG14" s="966">
        <f>MID(CONCATENATE('演算'!$M$233,'演算'!$M$500,'演算'!$M$779,'演算'!$M$1058,'演算'!$M$1337),5*A14+1,5)</f>
      </c>
      <c r="AH14" s="1104">
        <f t="shared" si="2"/>
      </c>
      <c r="AI14" s="1105"/>
      <c r="AJ14" s="953">
        <f>WIDECHAR(MID(CONCATENATE('演算'!$M$234,'演算'!$M$501,'演算'!$M$780,'演算'!$M$1059,'演算'!$M$1338),A14+1,1))</f>
      </c>
      <c r="AL14" s="184">
        <v>8</v>
      </c>
    </row>
    <row r="15" spans="1:38" s="65" customFormat="1" ht="18" customHeight="1">
      <c r="A15" s="65">
        <v>116</v>
      </c>
      <c r="B15" s="1121">
        <f>WIDECHAR(MID(CONCATENATE('演算'!$Q$10,'演算'!$Q$242,'演算'!$Q$521,'演算'!$Q$800,'演算'!$Q$1079),'演算'!$L$10*A15+1,'演算'!$L$10))</f>
      </c>
      <c r="C15" s="1123"/>
      <c r="D15" s="961">
        <f>WIDECHAR(MID(CONCATENATE('演算'!$Q$18,'演算'!$Q$254,'演算'!$Q$533,'演算'!$Q$812,'演算'!$Q$1091),'演算'!$L$18*A15+1,'演算'!$L$18))</f>
      </c>
      <c r="E15" s="967"/>
      <c r="F15" s="967"/>
      <c r="G15" s="967"/>
      <c r="H15" s="968"/>
      <c r="I15" s="1121">
        <f>WIDECHAR(MID(CONCATENATE('演算'!$Q$25,'演算'!$Q$265,'演算'!$Q$544,'演算'!$Q$823,'演算'!$Q$1102),'演算'!$L$25*A15+1,'演算'!$L$25))</f>
      </c>
      <c r="J15" s="1122"/>
      <c r="K15" s="1122"/>
      <c r="L15" s="961">
        <f>WIDECHAR(MID(CONCATENATE('演算'!$M$229,'演算'!$M$496,'演算'!$M$775,'演算'!$M$1054,'演算'!$M$1333),'演算'!$L$32*A15+1,'演算'!$L$32))</f>
      </c>
      <c r="M15" s="967"/>
      <c r="N15" s="967"/>
      <c r="O15" s="967"/>
      <c r="P15" s="967"/>
      <c r="Q15" s="967"/>
      <c r="R15" s="967"/>
      <c r="S15" s="967"/>
      <c r="T15" s="967"/>
      <c r="U15" s="968"/>
      <c r="V15" s="961">
        <f>WIDECHAR(MID(CONCATENATE('演算'!$M$230,'演算'!$M$497,'演算'!$M$776,'演算'!$M$1055,'演算'!$M$1334),'演算'!$L$40*A15+1,'演算'!$L$40))</f>
      </c>
      <c r="W15" s="967"/>
      <c r="X15" s="968"/>
      <c r="Y15" s="1103">
        <f>WIDECHAR(MID(CONCATENATE('演算'!$M$231,'演算'!$M$498,'演算'!$M$777,'演算'!$M$1056,'演算'!$M$1335),'演算'!$L$49*A15+1,'演算'!$L$49))</f>
      </c>
      <c r="Z15" s="1104"/>
      <c r="AA15" s="1105"/>
      <c r="AB15" s="964">
        <f>MID(CONCATENATE('演算'!$M$232,'演算'!$M$499,'演算'!$M$778,'演算'!$M$1057,'演算'!$M$1336,REPT("　",130)),5*A15+1,5)</f>
      </c>
      <c r="AC15" s="969"/>
      <c r="AD15" s="1103">
        <f t="shared" si="0"/>
      </c>
      <c r="AE15" s="1104"/>
      <c r="AF15" s="952" t="str">
        <f t="shared" si="1"/>
        <v>～</v>
      </c>
      <c r="AG15" s="966">
        <f>MID(CONCATENATE('演算'!$M$233,'演算'!$M$500,'演算'!$M$779,'演算'!$M$1058,'演算'!$M$1337),5*A15+1,5)</f>
      </c>
      <c r="AH15" s="1104">
        <f t="shared" si="2"/>
      </c>
      <c r="AI15" s="1105"/>
      <c r="AJ15" s="953">
        <f>WIDECHAR(MID(CONCATENATE('演算'!$M$234,'演算'!$M$501,'演算'!$M$780,'演算'!$M$1059,'演算'!$M$1338),A15+1,1))</f>
      </c>
      <c r="AL15" s="184">
        <v>9</v>
      </c>
    </row>
    <row r="16" spans="1:38" s="65" customFormat="1" ht="18" customHeight="1">
      <c r="A16" s="65">
        <v>117</v>
      </c>
      <c r="B16" s="1121">
        <f>WIDECHAR(MID(CONCATENATE('演算'!$Q$10,'演算'!$Q$242,'演算'!$Q$521,'演算'!$Q$800,'演算'!$Q$1079),'演算'!$L$10*A16+1,'演算'!$L$10))</f>
      </c>
      <c r="C16" s="1123"/>
      <c r="D16" s="961">
        <f>WIDECHAR(MID(CONCATENATE('演算'!$Q$18,'演算'!$Q$254,'演算'!$Q$533,'演算'!$Q$812,'演算'!$Q$1091),'演算'!$L$18*A16+1,'演算'!$L$18))</f>
      </c>
      <c r="E16" s="967"/>
      <c r="F16" s="967"/>
      <c r="G16" s="967"/>
      <c r="H16" s="968"/>
      <c r="I16" s="1121">
        <f>WIDECHAR(MID(CONCATENATE('演算'!$Q$25,'演算'!$Q$265,'演算'!$Q$544,'演算'!$Q$823,'演算'!$Q$1102),'演算'!$L$25*A16+1,'演算'!$L$25))</f>
      </c>
      <c r="J16" s="1122"/>
      <c r="K16" s="1122"/>
      <c r="L16" s="961">
        <f>WIDECHAR(MID(CONCATENATE('演算'!$M$229,'演算'!$M$496,'演算'!$M$775,'演算'!$M$1054,'演算'!$M$1333),'演算'!$L$32*A16+1,'演算'!$L$32))</f>
      </c>
      <c r="M16" s="967"/>
      <c r="N16" s="967"/>
      <c r="O16" s="967"/>
      <c r="P16" s="967"/>
      <c r="Q16" s="952"/>
      <c r="R16" s="967"/>
      <c r="S16" s="967"/>
      <c r="T16" s="967"/>
      <c r="U16" s="968"/>
      <c r="V16" s="961">
        <f>WIDECHAR(MID(CONCATENATE('演算'!$M$230,'演算'!$M$497,'演算'!$M$776,'演算'!$M$1055,'演算'!$M$1334),'演算'!$L$40*A16+1,'演算'!$L$40))</f>
      </c>
      <c r="W16" s="967"/>
      <c r="X16" s="968"/>
      <c r="Y16" s="1103">
        <f>WIDECHAR(MID(CONCATENATE('演算'!$M$231,'演算'!$M$498,'演算'!$M$777,'演算'!$M$1056,'演算'!$M$1335),'演算'!$L$49*A16+1,'演算'!$L$49))</f>
      </c>
      <c r="Z16" s="1104"/>
      <c r="AA16" s="1105"/>
      <c r="AB16" s="964">
        <f>MID(CONCATENATE('演算'!$M$232,'演算'!$M$499,'演算'!$M$778,'演算'!$M$1057,'演算'!$M$1336,REPT("　",130)),5*A16+1,5)</f>
      </c>
      <c r="AC16" s="969"/>
      <c r="AD16" s="1103">
        <f t="shared" si="0"/>
      </c>
      <c r="AE16" s="1104"/>
      <c r="AF16" s="952" t="str">
        <f t="shared" si="1"/>
        <v>～</v>
      </c>
      <c r="AG16" s="966">
        <f>MID(CONCATENATE('演算'!$M$233,'演算'!$M$500,'演算'!$M$779,'演算'!$M$1058,'演算'!$M$1337),5*A16+1,5)</f>
      </c>
      <c r="AH16" s="1104">
        <f t="shared" si="2"/>
      </c>
      <c r="AI16" s="1105"/>
      <c r="AJ16" s="953">
        <f>WIDECHAR(MID(CONCATENATE('演算'!$M$234,'演算'!$M$501,'演算'!$M$780,'演算'!$M$1059,'演算'!$M$1338),A16+1,1))</f>
      </c>
      <c r="AL16" s="184">
        <v>10</v>
      </c>
    </row>
    <row r="17" spans="1:38" s="65" customFormat="1" ht="18" customHeight="1">
      <c r="A17" s="65">
        <v>118</v>
      </c>
      <c r="B17" s="1121">
        <f>WIDECHAR(MID(CONCATENATE('演算'!$Q$10,'演算'!$Q$242,'演算'!$Q$521,'演算'!$Q$800,'演算'!$Q$1079),'演算'!$L$10*A17+1,'演算'!$L$10))</f>
      </c>
      <c r="C17" s="1123"/>
      <c r="D17" s="961">
        <f>WIDECHAR(MID(CONCATENATE('演算'!$Q$18,'演算'!$Q$254,'演算'!$Q$533,'演算'!$Q$812,'演算'!$Q$1091),'演算'!$L$18*A17+1,'演算'!$L$18))</f>
      </c>
      <c r="E17" s="967"/>
      <c r="F17" s="967"/>
      <c r="G17" s="967"/>
      <c r="H17" s="968"/>
      <c r="I17" s="1121">
        <f>WIDECHAR(MID(CONCATENATE('演算'!$Q$25,'演算'!$Q$265,'演算'!$Q$544,'演算'!$Q$823,'演算'!$Q$1102),'演算'!$L$25*A17+1,'演算'!$L$25))</f>
      </c>
      <c r="J17" s="1122"/>
      <c r="K17" s="1122"/>
      <c r="L17" s="961">
        <f>WIDECHAR(MID(CONCATENATE('演算'!$M$229,'演算'!$M$496,'演算'!$M$775,'演算'!$M$1054,'演算'!$M$1333),'演算'!$L$32*A17+1,'演算'!$L$32))</f>
      </c>
      <c r="M17" s="967"/>
      <c r="N17" s="967"/>
      <c r="O17" s="967"/>
      <c r="P17" s="967"/>
      <c r="Q17" s="967"/>
      <c r="R17" s="967"/>
      <c r="S17" s="967"/>
      <c r="T17" s="967"/>
      <c r="U17" s="968"/>
      <c r="V17" s="961">
        <f>WIDECHAR(MID(CONCATENATE('演算'!$M$230,'演算'!$M$497,'演算'!$M$776,'演算'!$M$1055,'演算'!$M$1334),'演算'!$L$40*A17+1,'演算'!$L$40))</f>
      </c>
      <c r="W17" s="967"/>
      <c r="X17" s="968"/>
      <c r="Y17" s="1103">
        <f>WIDECHAR(MID(CONCATENATE('演算'!$M$231,'演算'!$M$498,'演算'!$M$777,'演算'!$M$1056,'演算'!$M$1335),'演算'!$L$49*A17+1,'演算'!$L$49))</f>
      </c>
      <c r="Z17" s="1104"/>
      <c r="AA17" s="1105"/>
      <c r="AB17" s="964">
        <f>MID(CONCATENATE('演算'!$M$232,'演算'!$M$499,'演算'!$M$778,'演算'!$M$1057,'演算'!$M$1336,REPT("　",130)),5*A17+1,5)</f>
      </c>
      <c r="AC17" s="969"/>
      <c r="AD17" s="1103">
        <f t="shared" si="0"/>
      </c>
      <c r="AE17" s="1104"/>
      <c r="AF17" s="952" t="str">
        <f t="shared" si="1"/>
        <v>～</v>
      </c>
      <c r="AG17" s="966">
        <f>MID(CONCATENATE('演算'!$M$233,'演算'!$M$500,'演算'!$M$779,'演算'!$M$1058,'演算'!$M$1337),5*A17+1,5)</f>
      </c>
      <c r="AH17" s="1104">
        <f t="shared" si="2"/>
      </c>
      <c r="AI17" s="1105"/>
      <c r="AJ17" s="953">
        <f>WIDECHAR(MID(CONCATENATE('演算'!$M$234,'演算'!$M$501,'演算'!$M$780,'演算'!$M$1059,'演算'!$M$1338),A17+1,1))</f>
      </c>
      <c r="AL17" s="184">
        <v>11</v>
      </c>
    </row>
    <row r="18" spans="1:38" s="65" customFormat="1" ht="18" customHeight="1">
      <c r="A18" s="65">
        <v>119</v>
      </c>
      <c r="B18" s="1121">
        <f>WIDECHAR(MID(CONCATENATE('演算'!$Q$10,'演算'!$Q$242,'演算'!$Q$521,'演算'!$Q$800,'演算'!$Q$1079),'演算'!$L$10*A18+1,'演算'!$L$10))</f>
      </c>
      <c r="C18" s="1123"/>
      <c r="D18" s="961">
        <f>WIDECHAR(MID(CONCATENATE('演算'!$Q$18,'演算'!$Q$254,'演算'!$Q$533,'演算'!$Q$812,'演算'!$Q$1091),'演算'!$L$18*A18+1,'演算'!$L$18))</f>
      </c>
      <c r="E18" s="967"/>
      <c r="F18" s="967"/>
      <c r="G18" s="967"/>
      <c r="H18" s="968"/>
      <c r="I18" s="1121">
        <f>WIDECHAR(MID(CONCATENATE('演算'!$Q$25,'演算'!$Q$265,'演算'!$Q$544,'演算'!$Q$823,'演算'!$Q$1102),'演算'!$L$25*A18+1,'演算'!$L$25))</f>
      </c>
      <c r="J18" s="1122"/>
      <c r="K18" s="1122"/>
      <c r="L18" s="961">
        <f>WIDECHAR(MID(CONCATENATE('演算'!$M$229,'演算'!$M$496,'演算'!$M$775,'演算'!$M$1054,'演算'!$M$1333),'演算'!$L$32*A18+1,'演算'!$L$32))</f>
      </c>
      <c r="M18" s="967"/>
      <c r="N18" s="967"/>
      <c r="O18" s="967"/>
      <c r="P18" s="967"/>
      <c r="Q18" s="967"/>
      <c r="R18" s="967"/>
      <c r="S18" s="967"/>
      <c r="T18" s="967"/>
      <c r="U18" s="968"/>
      <c r="V18" s="961">
        <f>WIDECHAR(MID(CONCATENATE('演算'!$M$230,'演算'!$M$497,'演算'!$M$776,'演算'!$M$1055,'演算'!$M$1334),'演算'!$L$40*A18+1,'演算'!$L$40))</f>
      </c>
      <c r="W18" s="967"/>
      <c r="X18" s="968"/>
      <c r="Y18" s="1103">
        <f>WIDECHAR(MID(CONCATENATE('演算'!$M$231,'演算'!$M$498,'演算'!$M$777,'演算'!$M$1056,'演算'!$M$1335),'演算'!$L$49*A18+1,'演算'!$L$49))</f>
      </c>
      <c r="Z18" s="1104"/>
      <c r="AA18" s="1105"/>
      <c r="AB18" s="964">
        <f>MID(CONCATENATE('演算'!$M$232,'演算'!$M$499,'演算'!$M$778,'演算'!$M$1057,'演算'!$M$1336,REPT("　",130)),5*A18+1,5)</f>
      </c>
      <c r="AC18" s="969"/>
      <c r="AD18" s="1103">
        <f t="shared" si="0"/>
      </c>
      <c r="AE18" s="1104"/>
      <c r="AF18" s="952" t="str">
        <f t="shared" si="1"/>
        <v>～</v>
      </c>
      <c r="AG18" s="966">
        <f>MID(CONCATENATE('演算'!$M$233,'演算'!$M$500,'演算'!$M$779,'演算'!$M$1058,'演算'!$M$1337),5*A18+1,5)</f>
      </c>
      <c r="AH18" s="1104">
        <f t="shared" si="2"/>
      </c>
      <c r="AI18" s="1105"/>
      <c r="AJ18" s="953">
        <f>WIDECHAR(MID(CONCATENATE('演算'!$M$234,'演算'!$M$501,'演算'!$M$780,'演算'!$M$1059,'演算'!$M$1338),A18+1,1))</f>
      </c>
      <c r="AL18" s="184">
        <v>12</v>
      </c>
    </row>
    <row r="19" spans="1:38" s="65" customFormat="1" ht="18" customHeight="1">
      <c r="A19" s="65">
        <v>120</v>
      </c>
      <c r="B19" s="1121">
        <f>WIDECHAR(MID(CONCATENATE('演算'!$Q$10,'演算'!$Q$242,'演算'!$Q$521,'演算'!$Q$800,'演算'!$Q$1079),'演算'!$L$10*A19+1,'演算'!$L$10))</f>
      </c>
      <c r="C19" s="1123"/>
      <c r="D19" s="961">
        <f>WIDECHAR(MID(CONCATENATE('演算'!$Q$18,'演算'!$Q$254,'演算'!$Q$533,'演算'!$Q$812,'演算'!$Q$1091),'演算'!$L$18*A19+1,'演算'!$L$18))</f>
      </c>
      <c r="E19" s="967"/>
      <c r="F19" s="967"/>
      <c r="G19" s="967"/>
      <c r="H19" s="968"/>
      <c r="I19" s="1121">
        <f>WIDECHAR(MID(CONCATENATE('演算'!$Q$25,'演算'!$Q$265,'演算'!$Q$544,'演算'!$Q$823,'演算'!$Q$1102),'演算'!$L$25*A19+1,'演算'!$L$25))</f>
      </c>
      <c r="J19" s="1122"/>
      <c r="K19" s="1122"/>
      <c r="L19" s="961">
        <f>WIDECHAR(MID(CONCATENATE('演算'!$M$229,'演算'!$M$496,'演算'!$M$775,'演算'!$M$1054,'演算'!$M$1333),'演算'!$L$32*A19+1,'演算'!$L$32))</f>
      </c>
      <c r="M19" s="967"/>
      <c r="N19" s="967"/>
      <c r="O19" s="967"/>
      <c r="P19" s="967"/>
      <c r="Q19" s="967"/>
      <c r="R19" s="967"/>
      <c r="S19" s="967"/>
      <c r="T19" s="967"/>
      <c r="U19" s="968"/>
      <c r="V19" s="961">
        <f>WIDECHAR(MID(CONCATENATE('演算'!$M$230,'演算'!$M$497,'演算'!$M$776,'演算'!$M$1055,'演算'!$M$1334),'演算'!$L$40*A19+1,'演算'!$L$40))</f>
      </c>
      <c r="W19" s="967"/>
      <c r="X19" s="968"/>
      <c r="Y19" s="1103">
        <f>WIDECHAR(MID(CONCATENATE('演算'!$M$231,'演算'!$M$498,'演算'!$M$777,'演算'!$M$1056,'演算'!$M$1335),'演算'!$L$49*A19+1,'演算'!$L$49))</f>
      </c>
      <c r="Z19" s="1104"/>
      <c r="AA19" s="1105"/>
      <c r="AB19" s="964">
        <f>MID(CONCATENATE('演算'!$M$232,'演算'!$M$499,'演算'!$M$778,'演算'!$M$1057,'演算'!$M$1336,REPT("　",130)),5*A19+1,5)</f>
      </c>
      <c r="AC19" s="969"/>
      <c r="AD19" s="1103">
        <f t="shared" si="0"/>
      </c>
      <c r="AE19" s="1104"/>
      <c r="AF19" s="952" t="str">
        <f t="shared" si="1"/>
        <v>～</v>
      </c>
      <c r="AG19" s="966">
        <f>MID(CONCATENATE('演算'!$M$233,'演算'!$M$500,'演算'!$M$779,'演算'!$M$1058,'演算'!$M$1337),5*A19+1,5)</f>
      </c>
      <c r="AH19" s="1104">
        <f t="shared" si="2"/>
      </c>
      <c r="AI19" s="1105"/>
      <c r="AJ19" s="953">
        <f>WIDECHAR(MID(CONCATENATE('演算'!$M$234,'演算'!$M$501,'演算'!$M$780,'演算'!$M$1059,'演算'!$M$1338),A19+1,1))</f>
      </c>
      <c r="AL19" s="184">
        <v>13</v>
      </c>
    </row>
    <row r="20" spans="1:38" s="65" customFormat="1" ht="18" customHeight="1">
      <c r="A20" s="65">
        <v>121</v>
      </c>
      <c r="B20" s="1121">
        <f>WIDECHAR(MID(CONCATENATE('演算'!$Q$10,'演算'!$Q$242,'演算'!$Q$521,'演算'!$Q$800,'演算'!$Q$1079),'演算'!$L$10*A20+1,'演算'!$L$10))</f>
      </c>
      <c r="C20" s="1123"/>
      <c r="D20" s="961">
        <f>WIDECHAR(MID(CONCATENATE('演算'!$Q$18,'演算'!$Q$254,'演算'!$Q$533,'演算'!$Q$812,'演算'!$Q$1091),'演算'!$L$18*A20+1,'演算'!$L$18))</f>
      </c>
      <c r="E20" s="967"/>
      <c r="F20" s="967"/>
      <c r="G20" s="967"/>
      <c r="H20" s="968"/>
      <c r="I20" s="1121">
        <f>WIDECHAR(MID(CONCATENATE('演算'!$Q$25,'演算'!$Q$265,'演算'!$Q$544,'演算'!$Q$823,'演算'!$Q$1102),'演算'!$L$25*A20+1,'演算'!$L$25))</f>
      </c>
      <c r="J20" s="1122"/>
      <c r="K20" s="1122"/>
      <c r="L20" s="961">
        <f>WIDECHAR(MID(CONCATENATE('演算'!$M$229,'演算'!$M$496,'演算'!$M$775,'演算'!$M$1054,'演算'!$M$1333),'演算'!$L$32*A20+1,'演算'!$L$32))</f>
      </c>
      <c r="M20" s="967"/>
      <c r="N20" s="967"/>
      <c r="O20" s="967"/>
      <c r="P20" s="967"/>
      <c r="Q20" s="967"/>
      <c r="R20" s="967"/>
      <c r="S20" s="967"/>
      <c r="T20" s="967"/>
      <c r="U20" s="968"/>
      <c r="V20" s="961">
        <f>WIDECHAR(MID(CONCATENATE('演算'!$M$230,'演算'!$M$497,'演算'!$M$776,'演算'!$M$1055,'演算'!$M$1334),'演算'!$L$40*A20+1,'演算'!$L$40))</f>
      </c>
      <c r="W20" s="967"/>
      <c r="X20" s="968"/>
      <c r="Y20" s="1103">
        <f>WIDECHAR(MID(CONCATENATE('演算'!$M$231,'演算'!$M$498,'演算'!$M$777,'演算'!$M$1056,'演算'!$M$1335),'演算'!$L$49*A20+1,'演算'!$L$49))</f>
      </c>
      <c r="Z20" s="1104"/>
      <c r="AA20" s="1105"/>
      <c r="AB20" s="964">
        <f>MID(CONCATENATE('演算'!$M$232,'演算'!$M$499,'演算'!$M$778,'演算'!$M$1057,'演算'!$M$1336,REPT("　",130)),5*A20+1,5)</f>
      </c>
      <c r="AC20" s="969"/>
      <c r="AD20" s="1103">
        <f t="shared" si="0"/>
      </c>
      <c r="AE20" s="1104"/>
      <c r="AF20" s="952" t="str">
        <f t="shared" si="1"/>
        <v>～</v>
      </c>
      <c r="AG20" s="966">
        <f>MID(CONCATENATE('演算'!$M$233,'演算'!$M$500,'演算'!$M$779,'演算'!$M$1058,'演算'!$M$1337),5*A20+1,5)</f>
      </c>
      <c r="AH20" s="1104">
        <f t="shared" si="2"/>
      </c>
      <c r="AI20" s="1105"/>
      <c r="AJ20" s="953">
        <f>WIDECHAR(MID(CONCATENATE('演算'!$M$234,'演算'!$M$501,'演算'!$M$780,'演算'!$M$1059,'演算'!$M$1338),A20+1,1))</f>
      </c>
      <c r="AL20" s="184">
        <v>14</v>
      </c>
    </row>
    <row r="21" spans="1:38" s="65" customFormat="1" ht="18" customHeight="1">
      <c r="A21" s="65">
        <v>122</v>
      </c>
      <c r="B21" s="1121">
        <f>WIDECHAR(MID(CONCATENATE('演算'!$Q$10,'演算'!$Q$242,'演算'!$Q$521,'演算'!$Q$800,'演算'!$Q$1079),'演算'!$L$10*A21+1,'演算'!$L$10))</f>
      </c>
      <c r="C21" s="1123"/>
      <c r="D21" s="961">
        <f>WIDECHAR(MID(CONCATENATE('演算'!$Q$18,'演算'!$Q$254,'演算'!$Q$533,'演算'!$Q$812,'演算'!$Q$1091),'演算'!$L$18*A21+1,'演算'!$L$18))</f>
      </c>
      <c r="E21" s="967"/>
      <c r="F21" s="967"/>
      <c r="G21" s="967"/>
      <c r="H21" s="968"/>
      <c r="I21" s="1121">
        <f>WIDECHAR(MID(CONCATENATE('演算'!$Q$25,'演算'!$Q$265,'演算'!$Q$544,'演算'!$Q$823,'演算'!$Q$1102),'演算'!$L$25*A21+1,'演算'!$L$25))</f>
      </c>
      <c r="J21" s="1122"/>
      <c r="K21" s="1122"/>
      <c r="L21" s="961">
        <f>WIDECHAR(MID(CONCATENATE('演算'!$M$229,'演算'!$M$496,'演算'!$M$775,'演算'!$M$1054,'演算'!$M$1333),'演算'!$L$32*A21+1,'演算'!$L$32))</f>
      </c>
      <c r="M21" s="967"/>
      <c r="N21" s="967"/>
      <c r="O21" s="967"/>
      <c r="P21" s="967"/>
      <c r="Q21" s="967"/>
      <c r="R21" s="967"/>
      <c r="S21" s="967"/>
      <c r="T21" s="967"/>
      <c r="U21" s="968"/>
      <c r="V21" s="961">
        <f>WIDECHAR(MID(CONCATENATE('演算'!$M$230,'演算'!$M$497,'演算'!$M$776,'演算'!$M$1055,'演算'!$M$1334),'演算'!$L$40*A21+1,'演算'!$L$40))</f>
      </c>
      <c r="W21" s="967"/>
      <c r="X21" s="968"/>
      <c r="Y21" s="1103">
        <f>WIDECHAR(MID(CONCATENATE('演算'!$M$231,'演算'!$M$498,'演算'!$M$777,'演算'!$M$1056,'演算'!$M$1335),'演算'!$L$49*A21+1,'演算'!$L$49))</f>
      </c>
      <c r="Z21" s="1104"/>
      <c r="AA21" s="1105"/>
      <c r="AB21" s="964">
        <f>MID(CONCATENATE('演算'!$M$232,'演算'!$M$499,'演算'!$M$778,'演算'!$M$1057,'演算'!$M$1336,REPT("　",130)),5*A21+1,5)</f>
      </c>
      <c r="AC21" s="969"/>
      <c r="AD21" s="1103">
        <f t="shared" si="0"/>
      </c>
      <c r="AE21" s="1104"/>
      <c r="AF21" s="952" t="str">
        <f t="shared" si="1"/>
        <v>～</v>
      </c>
      <c r="AG21" s="966">
        <f>MID(CONCATENATE('演算'!$M$233,'演算'!$M$500,'演算'!$M$779,'演算'!$M$1058,'演算'!$M$1337),5*A21+1,5)</f>
      </c>
      <c r="AH21" s="1104">
        <f t="shared" si="2"/>
      </c>
      <c r="AI21" s="1105"/>
      <c r="AJ21" s="953">
        <f>WIDECHAR(MID(CONCATENATE('演算'!$M$234,'演算'!$M$501,'演算'!$M$780,'演算'!$M$1059,'演算'!$M$1338),A21+1,1))</f>
      </c>
      <c r="AL21" s="184">
        <v>15</v>
      </c>
    </row>
    <row r="22" spans="1:38" s="65" customFormat="1" ht="18" customHeight="1">
      <c r="A22" s="65">
        <v>123</v>
      </c>
      <c r="B22" s="1121">
        <f>WIDECHAR(MID(CONCATENATE('演算'!$Q$10,'演算'!$Q$242,'演算'!$Q$521,'演算'!$Q$800,'演算'!$Q$1079),'演算'!$L$10*A22+1,'演算'!$L$10))</f>
      </c>
      <c r="C22" s="1123"/>
      <c r="D22" s="961">
        <f>WIDECHAR(MID(CONCATENATE('演算'!$Q$18,'演算'!$Q$254,'演算'!$Q$533,'演算'!$Q$812,'演算'!$Q$1091),'演算'!$L$18*A22+1,'演算'!$L$18))</f>
      </c>
      <c r="E22" s="967"/>
      <c r="F22" s="967"/>
      <c r="G22" s="967"/>
      <c r="H22" s="968"/>
      <c r="I22" s="1121">
        <f>WIDECHAR(MID(CONCATENATE('演算'!$Q$25,'演算'!$Q$265,'演算'!$Q$544,'演算'!$Q$823,'演算'!$Q$1102),'演算'!$L$25*A22+1,'演算'!$L$25))</f>
      </c>
      <c r="J22" s="1122"/>
      <c r="K22" s="1122"/>
      <c r="L22" s="961">
        <f>WIDECHAR(MID(CONCATENATE('演算'!$M$229,'演算'!$M$496,'演算'!$M$775,'演算'!$M$1054,'演算'!$M$1333),'演算'!$L$32*A22+1,'演算'!$L$32))</f>
      </c>
      <c r="M22" s="967"/>
      <c r="N22" s="967"/>
      <c r="O22" s="967"/>
      <c r="P22" s="967"/>
      <c r="Q22" s="967"/>
      <c r="R22" s="967"/>
      <c r="S22" s="967"/>
      <c r="T22" s="967"/>
      <c r="U22" s="968"/>
      <c r="V22" s="961">
        <f>WIDECHAR(MID(CONCATENATE('演算'!$M$230,'演算'!$M$497,'演算'!$M$776,'演算'!$M$1055,'演算'!$M$1334),'演算'!$L$40*A22+1,'演算'!$L$40))</f>
      </c>
      <c r="W22" s="967"/>
      <c r="X22" s="968"/>
      <c r="Y22" s="1103">
        <f>WIDECHAR(MID(CONCATENATE('演算'!$M$231,'演算'!$M$498,'演算'!$M$777,'演算'!$M$1056,'演算'!$M$1335),'演算'!$L$49*A22+1,'演算'!$L$49))</f>
      </c>
      <c r="Z22" s="1104"/>
      <c r="AA22" s="1105"/>
      <c r="AB22" s="964">
        <f>MID(CONCATENATE('演算'!$M$232,'演算'!$M$499,'演算'!$M$778,'演算'!$M$1057,'演算'!$M$1336,REPT("　",130)),5*A22+1,5)</f>
      </c>
      <c r="AC22" s="969"/>
      <c r="AD22" s="1103">
        <f t="shared" si="0"/>
      </c>
      <c r="AE22" s="1104"/>
      <c r="AF22" s="952" t="str">
        <f t="shared" si="1"/>
        <v>～</v>
      </c>
      <c r="AG22" s="966">
        <f>MID(CONCATENATE('演算'!$M$233,'演算'!$M$500,'演算'!$M$779,'演算'!$M$1058,'演算'!$M$1337),5*A22+1,5)</f>
      </c>
      <c r="AH22" s="1104">
        <f t="shared" si="2"/>
      </c>
      <c r="AI22" s="1105"/>
      <c r="AJ22" s="953">
        <f>WIDECHAR(MID(CONCATENATE('演算'!$M$234,'演算'!$M$501,'演算'!$M$780,'演算'!$M$1059,'演算'!$M$1338),A22+1,1))</f>
      </c>
      <c r="AL22" s="184">
        <v>16</v>
      </c>
    </row>
    <row r="23" spans="1:38" s="65" customFormat="1" ht="18" customHeight="1">
      <c r="A23" s="65">
        <v>124</v>
      </c>
      <c r="B23" s="1121">
        <f>WIDECHAR(MID(CONCATENATE('演算'!$Q$10,'演算'!$Q$242,'演算'!$Q$521,'演算'!$Q$800,'演算'!$Q$1079),'演算'!$L$10*A23+1,'演算'!$L$10))</f>
      </c>
      <c r="C23" s="1123"/>
      <c r="D23" s="961">
        <f>WIDECHAR(MID(CONCATENATE('演算'!$Q$18,'演算'!$Q$254,'演算'!$Q$533,'演算'!$Q$812,'演算'!$Q$1091),'演算'!$L$18*A23+1,'演算'!$L$18))</f>
      </c>
      <c r="E23" s="967"/>
      <c r="F23" s="967"/>
      <c r="G23" s="967"/>
      <c r="H23" s="968"/>
      <c r="I23" s="1121">
        <f>WIDECHAR(MID(CONCATENATE('演算'!$Q$25,'演算'!$Q$265,'演算'!$Q$544,'演算'!$Q$823,'演算'!$Q$1102),'演算'!$L$25*A23+1,'演算'!$L$25))</f>
      </c>
      <c r="J23" s="1122"/>
      <c r="K23" s="1122"/>
      <c r="L23" s="961">
        <f>WIDECHAR(MID(CONCATENATE('演算'!$M$229,'演算'!$M$496,'演算'!$M$775,'演算'!$M$1054,'演算'!$M$1333),'演算'!$L$32*A23+1,'演算'!$L$32))</f>
      </c>
      <c r="M23" s="967"/>
      <c r="N23" s="967"/>
      <c r="O23" s="967"/>
      <c r="P23" s="967"/>
      <c r="Q23" s="967"/>
      <c r="R23" s="967"/>
      <c r="S23" s="967"/>
      <c r="T23" s="967"/>
      <c r="U23" s="968"/>
      <c r="V23" s="961">
        <f>WIDECHAR(MID(CONCATENATE('演算'!$M$230,'演算'!$M$497,'演算'!$M$776,'演算'!$M$1055,'演算'!$M$1334),'演算'!$L$40*A23+1,'演算'!$L$40))</f>
      </c>
      <c r="W23" s="967"/>
      <c r="X23" s="968"/>
      <c r="Y23" s="1103">
        <f>WIDECHAR(MID(CONCATENATE('演算'!$M$231,'演算'!$M$498,'演算'!$M$777,'演算'!$M$1056,'演算'!$M$1335),'演算'!$L$49*A23+1,'演算'!$L$49))</f>
      </c>
      <c r="Z23" s="1104"/>
      <c r="AA23" s="1105"/>
      <c r="AB23" s="964">
        <f>MID(CONCATENATE('演算'!$M$232,'演算'!$M$499,'演算'!$M$778,'演算'!$M$1057,'演算'!$M$1336,REPT("　",130)),5*A23+1,5)</f>
      </c>
      <c r="AC23" s="969"/>
      <c r="AD23" s="1103">
        <f t="shared" si="0"/>
      </c>
      <c r="AE23" s="1104"/>
      <c r="AF23" s="952" t="str">
        <f t="shared" si="1"/>
        <v>～</v>
      </c>
      <c r="AG23" s="966">
        <f>MID(CONCATENATE('演算'!$M$233,'演算'!$M$500,'演算'!$M$779,'演算'!$M$1058,'演算'!$M$1337),5*A23+1,5)</f>
      </c>
      <c r="AH23" s="1104">
        <f t="shared" si="2"/>
      </c>
      <c r="AI23" s="1105"/>
      <c r="AJ23" s="953">
        <f>WIDECHAR(MID(CONCATENATE('演算'!$M$234,'演算'!$M$501,'演算'!$M$780,'演算'!$M$1059,'演算'!$M$1338),A23+1,1))</f>
      </c>
      <c r="AL23" s="184">
        <v>17</v>
      </c>
    </row>
    <row r="24" spans="1:38" s="65" customFormat="1" ht="18" customHeight="1">
      <c r="A24" s="65">
        <v>125</v>
      </c>
      <c r="B24" s="1121">
        <f>WIDECHAR(MID(CONCATENATE('演算'!$Q$10,'演算'!$Q$242,'演算'!$Q$521,'演算'!$Q$800,'演算'!$Q$1079),'演算'!$L$10*A24+1,'演算'!$L$10))</f>
      </c>
      <c r="C24" s="1123"/>
      <c r="D24" s="961">
        <f>WIDECHAR(MID(CONCATENATE('演算'!$Q$18,'演算'!$Q$254,'演算'!$Q$533,'演算'!$Q$812,'演算'!$Q$1091),'演算'!$L$18*A24+1,'演算'!$L$18))</f>
      </c>
      <c r="E24" s="967"/>
      <c r="F24" s="967"/>
      <c r="G24" s="967"/>
      <c r="H24" s="968"/>
      <c r="I24" s="1121">
        <f>WIDECHAR(MID(CONCATENATE('演算'!$Q$25,'演算'!$Q$265,'演算'!$Q$544,'演算'!$Q$823,'演算'!$Q$1102),'演算'!$L$25*A24+1,'演算'!$L$25))</f>
      </c>
      <c r="J24" s="1122"/>
      <c r="K24" s="1122"/>
      <c r="L24" s="961">
        <f>WIDECHAR(MID(CONCATENATE('演算'!$M$229,'演算'!$M$496,'演算'!$M$775,'演算'!$M$1054,'演算'!$M$1333),'演算'!$L$32*A24+1,'演算'!$L$32))</f>
      </c>
      <c r="M24" s="967"/>
      <c r="N24" s="967"/>
      <c r="O24" s="967"/>
      <c r="P24" s="967"/>
      <c r="Q24" s="967"/>
      <c r="R24" s="967"/>
      <c r="S24" s="967"/>
      <c r="T24" s="967"/>
      <c r="U24" s="968"/>
      <c r="V24" s="961">
        <f>WIDECHAR(MID(CONCATENATE('演算'!$M$230,'演算'!$M$497,'演算'!$M$776,'演算'!$M$1055,'演算'!$M$1334),'演算'!$L$40*A24+1,'演算'!$L$40))</f>
      </c>
      <c r="W24" s="967"/>
      <c r="X24" s="968"/>
      <c r="Y24" s="1103">
        <f>WIDECHAR(MID(CONCATENATE('演算'!$M$231,'演算'!$M$498,'演算'!$M$777,'演算'!$M$1056,'演算'!$M$1335),'演算'!$L$49*A24+1,'演算'!$L$49))</f>
      </c>
      <c r="Z24" s="1104"/>
      <c r="AA24" s="1105"/>
      <c r="AB24" s="964">
        <f>MID(CONCATENATE('演算'!$M$232,'演算'!$M$499,'演算'!$M$778,'演算'!$M$1057,'演算'!$M$1336,REPT("　",130)),5*A24+1,5)</f>
      </c>
      <c r="AC24" s="969"/>
      <c r="AD24" s="1103">
        <f t="shared" si="0"/>
      </c>
      <c r="AE24" s="1104"/>
      <c r="AF24" s="952" t="str">
        <f t="shared" si="1"/>
        <v>～</v>
      </c>
      <c r="AG24" s="966">
        <f>MID(CONCATENATE('演算'!$M$233,'演算'!$M$500,'演算'!$M$779,'演算'!$M$1058,'演算'!$M$1337),5*A24+1,5)</f>
      </c>
      <c r="AH24" s="1104">
        <f t="shared" si="2"/>
      </c>
      <c r="AI24" s="1105"/>
      <c r="AJ24" s="953">
        <f>WIDECHAR(MID(CONCATENATE('演算'!$M$234,'演算'!$M$501,'演算'!$M$780,'演算'!$M$1059,'演算'!$M$1338),A24+1,1))</f>
      </c>
      <c r="AL24" s="184">
        <v>18</v>
      </c>
    </row>
    <row r="25" spans="1:38" s="65" customFormat="1" ht="18" customHeight="1">
      <c r="A25" s="65">
        <v>126</v>
      </c>
      <c r="B25" s="1121">
        <f>WIDECHAR(MID(CONCATENATE('演算'!$Q$10,'演算'!$Q$242,'演算'!$Q$521,'演算'!$Q$800,'演算'!$Q$1079),'演算'!$L$10*A25+1,'演算'!$L$10))</f>
      </c>
      <c r="C25" s="1123"/>
      <c r="D25" s="961">
        <f>WIDECHAR(MID(CONCATENATE('演算'!$Q$18,'演算'!$Q$254,'演算'!$Q$533,'演算'!$Q$812,'演算'!$Q$1091),'演算'!$L$18*A25+1,'演算'!$L$18))</f>
      </c>
      <c r="E25" s="967"/>
      <c r="F25" s="967"/>
      <c r="G25" s="967"/>
      <c r="H25" s="968"/>
      <c r="I25" s="1121">
        <f>WIDECHAR(MID(CONCATENATE('演算'!$Q$25,'演算'!$Q$265,'演算'!$Q$544,'演算'!$Q$823,'演算'!$Q$1102),'演算'!$L$25*A25+1,'演算'!$L$25))</f>
      </c>
      <c r="J25" s="1122"/>
      <c r="K25" s="1122"/>
      <c r="L25" s="961">
        <f>WIDECHAR(MID(CONCATENATE('演算'!$M$229,'演算'!$M$496,'演算'!$M$775,'演算'!$M$1054,'演算'!$M$1333),'演算'!$L$32*A25+1,'演算'!$L$32))</f>
      </c>
      <c r="M25" s="967"/>
      <c r="N25" s="967"/>
      <c r="O25" s="967"/>
      <c r="P25" s="967"/>
      <c r="Q25" s="967"/>
      <c r="R25" s="967"/>
      <c r="S25" s="967"/>
      <c r="T25" s="967"/>
      <c r="U25" s="968"/>
      <c r="V25" s="961">
        <f>WIDECHAR(MID(CONCATENATE('演算'!$M$230,'演算'!$M$497,'演算'!$M$776,'演算'!$M$1055,'演算'!$M$1334),'演算'!$L$40*A25+1,'演算'!$L$40))</f>
      </c>
      <c r="W25" s="967"/>
      <c r="X25" s="968"/>
      <c r="Y25" s="1103">
        <f>WIDECHAR(MID(CONCATENATE('演算'!$M$231,'演算'!$M$498,'演算'!$M$777,'演算'!$M$1056,'演算'!$M$1335),'演算'!$L$49*A25+1,'演算'!$L$49))</f>
      </c>
      <c r="Z25" s="1104"/>
      <c r="AA25" s="1105"/>
      <c r="AB25" s="964">
        <f>MID(CONCATENATE('演算'!$M$232,'演算'!$M$499,'演算'!$M$778,'演算'!$M$1057,'演算'!$M$1336,REPT("　",130)),5*A25+1,5)</f>
      </c>
      <c r="AC25" s="969"/>
      <c r="AD25" s="1103">
        <f t="shared" si="0"/>
      </c>
      <c r="AE25" s="1104"/>
      <c r="AF25" s="952" t="str">
        <f t="shared" si="1"/>
        <v>～</v>
      </c>
      <c r="AG25" s="966">
        <f>MID(CONCATENATE('演算'!$M$233,'演算'!$M$500,'演算'!$M$779,'演算'!$M$1058,'演算'!$M$1337),5*A25+1,5)</f>
      </c>
      <c r="AH25" s="1104">
        <f t="shared" si="2"/>
      </c>
      <c r="AI25" s="1105"/>
      <c r="AJ25" s="953">
        <f>WIDECHAR(MID(CONCATENATE('演算'!$M$234,'演算'!$M$501,'演算'!$M$780,'演算'!$M$1059,'演算'!$M$1338),A25+1,1))</f>
      </c>
      <c r="AL25" s="184">
        <v>19</v>
      </c>
    </row>
    <row r="26" spans="1:38" s="65" customFormat="1" ht="18" customHeight="1">
      <c r="A26" s="65">
        <v>127</v>
      </c>
      <c r="B26" s="1121">
        <f>WIDECHAR(MID(CONCATENATE('演算'!$Q$10,'演算'!$Q$242,'演算'!$Q$521,'演算'!$Q$800,'演算'!$Q$1079),'演算'!$L$10*A26+1,'演算'!$L$10))</f>
      </c>
      <c r="C26" s="1123"/>
      <c r="D26" s="961">
        <f>WIDECHAR(MID(CONCATENATE('演算'!$Q$18,'演算'!$Q$254,'演算'!$Q$533,'演算'!$Q$812,'演算'!$Q$1091),'演算'!$L$18*A26+1,'演算'!$L$18))</f>
      </c>
      <c r="E26" s="967"/>
      <c r="F26" s="967"/>
      <c r="G26" s="967"/>
      <c r="H26" s="968"/>
      <c r="I26" s="1121">
        <f>WIDECHAR(MID(CONCATENATE('演算'!$Q$25,'演算'!$Q$265,'演算'!$Q$544,'演算'!$Q$823,'演算'!$Q$1102),'演算'!$L$25*A26+1,'演算'!$L$25))</f>
      </c>
      <c r="J26" s="1122"/>
      <c r="K26" s="1122"/>
      <c r="L26" s="961">
        <f>WIDECHAR(MID(CONCATENATE('演算'!$M$229,'演算'!$M$496,'演算'!$M$775,'演算'!$M$1054,'演算'!$M$1333),'演算'!$L$32*A26+1,'演算'!$L$32))</f>
      </c>
      <c r="M26" s="967"/>
      <c r="N26" s="967"/>
      <c r="O26" s="967"/>
      <c r="P26" s="967"/>
      <c r="Q26" s="967"/>
      <c r="R26" s="967"/>
      <c r="S26" s="967"/>
      <c r="T26" s="967"/>
      <c r="U26" s="968"/>
      <c r="V26" s="961">
        <f>WIDECHAR(MID(CONCATENATE('演算'!$M$230,'演算'!$M$497,'演算'!$M$776,'演算'!$M$1055,'演算'!$M$1334),'演算'!$L$40*A26+1,'演算'!$L$40))</f>
      </c>
      <c r="W26" s="967"/>
      <c r="X26" s="968"/>
      <c r="Y26" s="1103">
        <f>WIDECHAR(MID(CONCATENATE('演算'!$M$231,'演算'!$M$498,'演算'!$M$777,'演算'!$M$1056,'演算'!$M$1335),'演算'!$L$49*A26+1,'演算'!$L$49))</f>
      </c>
      <c r="Z26" s="1104"/>
      <c r="AA26" s="1105"/>
      <c r="AB26" s="964">
        <f>MID(CONCATENATE('演算'!$M$232,'演算'!$M$499,'演算'!$M$778,'演算'!$M$1057,'演算'!$M$1336,REPT("　",130)),5*A26+1,5)</f>
      </c>
      <c r="AC26" s="969"/>
      <c r="AD26" s="1103">
        <f t="shared" si="0"/>
      </c>
      <c r="AE26" s="1104"/>
      <c r="AF26" s="952" t="str">
        <f t="shared" si="1"/>
        <v>～</v>
      </c>
      <c r="AG26" s="966">
        <f>MID(CONCATENATE('演算'!$M$233,'演算'!$M$500,'演算'!$M$779,'演算'!$M$1058,'演算'!$M$1337),5*A26+1,5)</f>
      </c>
      <c r="AH26" s="1104">
        <f t="shared" si="2"/>
      </c>
      <c r="AI26" s="1105"/>
      <c r="AJ26" s="953">
        <f>WIDECHAR(MID(CONCATENATE('演算'!$M$234,'演算'!$M$501,'演算'!$M$780,'演算'!$M$1059,'演算'!$M$1338),A26+1,1))</f>
      </c>
      <c r="AL26" s="184">
        <v>20</v>
      </c>
    </row>
    <row r="27" spans="1:38" s="65" customFormat="1" ht="18" customHeight="1">
      <c r="A27" s="65">
        <v>128</v>
      </c>
      <c r="B27" s="1121">
        <f>WIDECHAR(MID(CONCATENATE('演算'!$Q$10,'演算'!$Q$242,'演算'!$Q$521,'演算'!$Q$800,'演算'!$Q$1079),'演算'!$L$10*A27+1,'演算'!$L$10))</f>
      </c>
      <c r="C27" s="1123"/>
      <c r="D27" s="961">
        <f>WIDECHAR(MID(CONCATENATE('演算'!$Q$18,'演算'!$Q$254,'演算'!$Q$533,'演算'!$Q$812,'演算'!$Q$1091),'演算'!$L$18*A27+1,'演算'!$L$18))</f>
      </c>
      <c r="E27" s="967"/>
      <c r="F27" s="967"/>
      <c r="G27" s="967"/>
      <c r="H27" s="968"/>
      <c r="I27" s="1121">
        <f>WIDECHAR(MID(CONCATENATE('演算'!$Q$25,'演算'!$Q$265,'演算'!$Q$544,'演算'!$Q$823,'演算'!$Q$1102),'演算'!$L$25*A27+1,'演算'!$L$25))</f>
      </c>
      <c r="J27" s="1122"/>
      <c r="K27" s="1122"/>
      <c r="L27" s="961">
        <f>WIDECHAR(MID(CONCATENATE('演算'!$M$229,'演算'!$M$496,'演算'!$M$775,'演算'!$M$1054,'演算'!$M$1333),'演算'!$L$32*A27+1,'演算'!$L$32))</f>
      </c>
      <c r="M27" s="967"/>
      <c r="N27" s="967"/>
      <c r="O27" s="967"/>
      <c r="P27" s="967"/>
      <c r="Q27" s="967"/>
      <c r="R27" s="967"/>
      <c r="S27" s="967"/>
      <c r="T27" s="967"/>
      <c r="U27" s="968"/>
      <c r="V27" s="961">
        <f>WIDECHAR(MID(CONCATENATE('演算'!$M$230,'演算'!$M$497,'演算'!$M$776,'演算'!$M$1055,'演算'!$M$1334),'演算'!$L$40*A27+1,'演算'!$L$40))</f>
      </c>
      <c r="W27" s="967"/>
      <c r="X27" s="968"/>
      <c r="Y27" s="1103">
        <f>WIDECHAR(MID(CONCATENATE('演算'!$M$231,'演算'!$M$498,'演算'!$M$777,'演算'!$M$1056,'演算'!$M$1335),'演算'!$L$49*A27+1,'演算'!$L$49))</f>
      </c>
      <c r="Z27" s="1104"/>
      <c r="AA27" s="1105"/>
      <c r="AB27" s="964">
        <f>MID(CONCATENATE('演算'!$M$232,'演算'!$M$499,'演算'!$M$778,'演算'!$M$1057,'演算'!$M$1336,REPT("　",130)),5*A27+1,5)</f>
      </c>
      <c r="AC27" s="969"/>
      <c r="AD27" s="1103">
        <f t="shared" si="0"/>
      </c>
      <c r="AE27" s="1104"/>
      <c r="AF27" s="952" t="str">
        <f t="shared" si="1"/>
        <v>～</v>
      </c>
      <c r="AG27" s="966">
        <f>MID(CONCATENATE('演算'!$M$233,'演算'!$M$500,'演算'!$M$779,'演算'!$M$1058,'演算'!$M$1337),5*A27+1,5)</f>
      </c>
      <c r="AH27" s="1104">
        <f t="shared" si="2"/>
      </c>
      <c r="AI27" s="1105"/>
      <c r="AJ27" s="953">
        <f>WIDECHAR(MID(CONCATENATE('演算'!$M$234,'演算'!$M$501,'演算'!$M$780,'演算'!$M$1059,'演算'!$M$1338),A27+1,1))</f>
      </c>
      <c r="AL27" s="184">
        <v>21</v>
      </c>
    </row>
    <row r="28" spans="1:38" s="65" customFormat="1" ht="18" customHeight="1">
      <c r="A28" s="65">
        <v>129</v>
      </c>
      <c r="B28" s="1121">
        <f>WIDECHAR(MID(CONCATENATE('演算'!$Q$10,'演算'!$Q$242,'演算'!$Q$521,'演算'!$Q$800,'演算'!$Q$1079),'演算'!$L$10*A28+1,'演算'!$L$10))</f>
      </c>
      <c r="C28" s="1123"/>
      <c r="D28" s="961">
        <f>WIDECHAR(MID(CONCATENATE('演算'!$Q$18,'演算'!$Q$254,'演算'!$Q$533,'演算'!$Q$812,'演算'!$Q$1091),'演算'!$L$18*A28+1,'演算'!$L$18))</f>
      </c>
      <c r="E28" s="970"/>
      <c r="F28" s="970"/>
      <c r="G28" s="970"/>
      <c r="H28" s="971"/>
      <c r="I28" s="1121">
        <f>WIDECHAR(MID(CONCATENATE('演算'!$Q$25,'演算'!$Q$265,'演算'!$Q$544,'演算'!$Q$823,'演算'!$Q$1102),'演算'!$L$25*A28+1,'演算'!$L$25))</f>
      </c>
      <c r="J28" s="1122"/>
      <c r="K28" s="1122"/>
      <c r="L28" s="961">
        <f>WIDECHAR(MID(CONCATENATE('演算'!$M$229,'演算'!$M$496,'演算'!$M$775,'演算'!$M$1054,'演算'!$M$1333),'演算'!$L$32*A28+1,'演算'!$L$32))</f>
      </c>
      <c r="M28" s="970"/>
      <c r="N28" s="970"/>
      <c r="O28" s="970"/>
      <c r="P28" s="970"/>
      <c r="Q28" s="970"/>
      <c r="R28" s="970"/>
      <c r="S28" s="970"/>
      <c r="T28" s="970"/>
      <c r="U28" s="971"/>
      <c r="V28" s="961">
        <f>WIDECHAR(MID(CONCATENATE('演算'!$M$230,'演算'!$M$497,'演算'!$M$776,'演算'!$M$1055,'演算'!$M$1334),'演算'!$L$40*A28+1,'演算'!$L$40))</f>
      </c>
      <c r="W28" s="970"/>
      <c r="X28" s="971"/>
      <c r="Y28" s="1103">
        <f>WIDECHAR(MID(CONCATENATE('演算'!$M$231,'演算'!$M$498,'演算'!$M$777,'演算'!$M$1056,'演算'!$M$1335),'演算'!$L$49*A28+1,'演算'!$L$49))</f>
      </c>
      <c r="Z28" s="1104"/>
      <c r="AA28" s="1105"/>
      <c r="AB28" s="964">
        <f>MID(CONCATENATE('演算'!$M$232,'演算'!$M$499,'演算'!$M$778,'演算'!$M$1057,'演算'!$M$1336,REPT("　",130)),5*A28+1,5)</f>
      </c>
      <c r="AC28" s="969"/>
      <c r="AD28" s="1103">
        <f t="shared" si="0"/>
      </c>
      <c r="AE28" s="1104"/>
      <c r="AF28" s="952" t="str">
        <f t="shared" si="1"/>
        <v>～</v>
      </c>
      <c r="AG28" s="966">
        <f>MID(CONCATENATE('演算'!$M$233,'演算'!$M$500,'演算'!$M$779,'演算'!$M$1058,'演算'!$M$1337),5*A28+1,5)</f>
      </c>
      <c r="AH28" s="1104">
        <f t="shared" si="2"/>
      </c>
      <c r="AI28" s="1105"/>
      <c r="AJ28" s="953">
        <f>WIDECHAR(MID(CONCATENATE('演算'!$M$234,'演算'!$M$501,'演算'!$M$780,'演算'!$M$1059,'演算'!$M$1338),A28+1,1))</f>
      </c>
      <c r="AL28" s="184">
        <v>22</v>
      </c>
    </row>
    <row r="29" spans="1:38" ht="18" customHeight="1">
      <c r="A29" s="65">
        <v>130</v>
      </c>
      <c r="B29" s="1121">
        <f>WIDECHAR(MID(CONCATENATE('演算'!$Q$10,'演算'!$Q$242,'演算'!$Q$521,'演算'!$Q$800,'演算'!$Q$1079),'演算'!$L$10*A29+1,'演算'!$L$10))</f>
      </c>
      <c r="C29" s="1123"/>
      <c r="D29" s="961">
        <f>WIDECHAR(MID(CONCATENATE('演算'!$Q$18,'演算'!$Q$254,'演算'!$Q$533,'演算'!$Q$812,'演算'!$Q$1091),'演算'!$L$18*A29+1,'演算'!$L$18))</f>
      </c>
      <c r="E29" s="972"/>
      <c r="F29" s="972"/>
      <c r="G29" s="972"/>
      <c r="H29" s="973"/>
      <c r="I29" s="1121">
        <f>WIDECHAR(MID(CONCATENATE('演算'!$Q$25,'演算'!$Q$265,'演算'!$Q$544,'演算'!$Q$823,'演算'!$Q$1102),'演算'!$L$25*A29+1,'演算'!$L$25))</f>
      </c>
      <c r="J29" s="1122"/>
      <c r="K29" s="1122"/>
      <c r="L29" s="961">
        <f>WIDECHAR(MID(CONCATENATE('演算'!$M$229,'演算'!$M$496,'演算'!$M$775,'演算'!$M$1054,'演算'!$M$1333),'演算'!$L$32*A29+1,'演算'!$L$32))</f>
      </c>
      <c r="M29" s="967"/>
      <c r="N29" s="967"/>
      <c r="O29" s="972"/>
      <c r="P29" s="972"/>
      <c r="Q29" s="972"/>
      <c r="R29" s="972"/>
      <c r="S29" s="972"/>
      <c r="T29" s="972"/>
      <c r="U29" s="973"/>
      <c r="V29" s="961">
        <f>WIDECHAR(MID(CONCATENATE('演算'!$M$230,'演算'!$M$497,'演算'!$M$776,'演算'!$M$1055,'演算'!$M$1334),'演算'!$L$40*A29+1,'演算'!$L$40))</f>
      </c>
      <c r="W29" s="972"/>
      <c r="X29" s="973"/>
      <c r="Y29" s="1103">
        <f>WIDECHAR(MID(CONCATENATE('演算'!$M$231,'演算'!$M$498,'演算'!$M$777,'演算'!$M$1056,'演算'!$M$1335),'演算'!$L$49*A29+1,'演算'!$L$49))</f>
      </c>
      <c r="Z29" s="1104"/>
      <c r="AA29" s="1105"/>
      <c r="AB29" s="964">
        <f>MID(CONCATENATE('演算'!$M$232,'演算'!$M$499,'演算'!$M$778,'演算'!$M$1057,'演算'!$M$1336,REPT("　",130)),5*A29+1,5)</f>
      </c>
      <c r="AC29" s="969"/>
      <c r="AD29" s="1103">
        <f t="shared" si="0"/>
      </c>
      <c r="AE29" s="1104"/>
      <c r="AF29" s="952" t="str">
        <f t="shared" si="1"/>
        <v>～</v>
      </c>
      <c r="AG29" s="966">
        <f>MID(CONCATENATE('演算'!$M$233,'演算'!$M$500,'演算'!$M$779,'演算'!$M$1058,'演算'!$M$1337),5*A29+1,5)</f>
      </c>
      <c r="AH29" s="1104">
        <f t="shared" si="2"/>
      </c>
      <c r="AI29" s="1105"/>
      <c r="AJ29" s="953">
        <f>WIDECHAR(MID(CONCATENATE('演算'!$M$234,'演算'!$M$501,'演算'!$M$780,'演算'!$M$1059,'演算'!$M$1338),A29+1,1))</f>
      </c>
      <c r="AL29" s="184">
        <v>23</v>
      </c>
    </row>
    <row r="30" spans="1:38" ht="18" customHeight="1">
      <c r="A30" s="65">
        <v>131</v>
      </c>
      <c r="B30" s="1121">
        <f>WIDECHAR(MID(CONCATENATE('演算'!$Q$10,'演算'!$Q$242,'演算'!$Q$521,'演算'!$Q$800,'演算'!$Q$1079),'演算'!$L$10*A30+1,'演算'!$L$10))</f>
      </c>
      <c r="C30" s="1123"/>
      <c r="D30" s="961">
        <f>WIDECHAR(MID(CONCATENATE('演算'!$Q$18,'演算'!$Q$254,'演算'!$Q$533,'演算'!$Q$812,'演算'!$Q$1091),'演算'!$L$18*A30+1,'演算'!$L$18))</f>
      </c>
      <c r="E30" s="972"/>
      <c r="F30" s="972"/>
      <c r="G30" s="972"/>
      <c r="H30" s="973"/>
      <c r="I30" s="1121">
        <f>WIDECHAR(MID(CONCATENATE('演算'!$Q$25,'演算'!$Q$265,'演算'!$Q$544,'演算'!$Q$823,'演算'!$Q$1102),'演算'!$L$25*A30+1,'演算'!$L$25))</f>
      </c>
      <c r="J30" s="1122"/>
      <c r="K30" s="1122"/>
      <c r="L30" s="961">
        <f>WIDECHAR(MID(CONCATENATE('演算'!$M$229,'演算'!$M$496,'演算'!$M$775,'演算'!$M$1054,'演算'!$M$1333),'演算'!$L$32*A30+1,'演算'!$L$32))</f>
      </c>
      <c r="M30" s="967"/>
      <c r="N30" s="967"/>
      <c r="O30" s="972"/>
      <c r="P30" s="972"/>
      <c r="Q30" s="972"/>
      <c r="R30" s="972"/>
      <c r="S30" s="972"/>
      <c r="T30" s="972"/>
      <c r="U30" s="973"/>
      <c r="V30" s="961">
        <f>WIDECHAR(MID(CONCATENATE('演算'!$M$230,'演算'!$M$497,'演算'!$M$776,'演算'!$M$1055,'演算'!$M$1334),'演算'!$L$40*A30+1,'演算'!$L$40))</f>
      </c>
      <c r="W30" s="972"/>
      <c r="X30" s="973"/>
      <c r="Y30" s="1103">
        <f>WIDECHAR(MID(CONCATENATE('演算'!$M$231,'演算'!$M$498,'演算'!$M$777,'演算'!$M$1056,'演算'!$M$1335),'演算'!$L$49*A30+1,'演算'!$L$49))</f>
      </c>
      <c r="Z30" s="1104"/>
      <c r="AA30" s="1105"/>
      <c r="AB30" s="964">
        <f>MID(CONCATENATE('演算'!$M$232,'演算'!$M$499,'演算'!$M$778,'演算'!$M$1057,'演算'!$M$1336,REPT("　",130)),5*A30+1,5)</f>
      </c>
      <c r="AC30" s="969"/>
      <c r="AD30" s="1103">
        <f t="shared" si="0"/>
      </c>
      <c r="AE30" s="1104"/>
      <c r="AF30" s="952" t="str">
        <f t="shared" si="1"/>
        <v>～</v>
      </c>
      <c r="AG30" s="966">
        <f>MID(CONCATENATE('演算'!$M$233,'演算'!$M$500,'演算'!$M$779,'演算'!$M$1058,'演算'!$M$1337),5*A30+1,5)</f>
      </c>
      <c r="AH30" s="1104">
        <f t="shared" si="2"/>
      </c>
      <c r="AI30" s="1105"/>
      <c r="AJ30" s="953">
        <f>WIDECHAR(MID(CONCATENATE('演算'!$M$234,'演算'!$M$501,'演算'!$M$780,'演算'!$M$1059,'演算'!$M$1338),A30+1,1))</f>
      </c>
      <c r="AL30" s="184">
        <v>24</v>
      </c>
    </row>
    <row r="31" spans="1:38" ht="18" customHeight="1">
      <c r="A31" s="65">
        <v>132</v>
      </c>
      <c r="B31" s="1121">
        <f>WIDECHAR(MID(CONCATENATE('演算'!$Q$10,'演算'!$Q$242,'演算'!$Q$521,'演算'!$Q$800,'演算'!$Q$1079),'演算'!$L$10*A31+1,'演算'!$L$10))</f>
      </c>
      <c r="C31" s="1123"/>
      <c r="D31" s="961">
        <f>WIDECHAR(MID(CONCATENATE('演算'!$Q$18,'演算'!$Q$254,'演算'!$Q$533,'演算'!$Q$812,'演算'!$Q$1091),'演算'!$L$18*A31+1,'演算'!$L$18))</f>
      </c>
      <c r="E31" s="974"/>
      <c r="F31" s="974"/>
      <c r="G31" s="974"/>
      <c r="H31" s="975"/>
      <c r="I31" s="1121">
        <f>WIDECHAR(MID(CONCATENATE('演算'!$Q$25,'演算'!$Q$265,'演算'!$Q$544,'演算'!$Q$823,'演算'!$Q$1102),'演算'!$L$25*A31+1,'演算'!$L$25))</f>
      </c>
      <c r="J31" s="1122"/>
      <c r="K31" s="1122"/>
      <c r="L31" s="961">
        <f>WIDECHAR(MID(CONCATENATE('演算'!$M$229,'演算'!$M$496,'演算'!$M$775,'演算'!$M$1054,'演算'!$M$1333),'演算'!$L$32*A31+1,'演算'!$L$32))</f>
      </c>
      <c r="M31" s="967"/>
      <c r="N31" s="967"/>
      <c r="O31" s="974"/>
      <c r="P31" s="974"/>
      <c r="Q31" s="974"/>
      <c r="R31" s="974"/>
      <c r="S31" s="974"/>
      <c r="T31" s="974"/>
      <c r="U31" s="975"/>
      <c r="V31" s="961">
        <f>WIDECHAR(MID(CONCATENATE('演算'!$M$230,'演算'!$M$497,'演算'!$M$776,'演算'!$M$1055,'演算'!$M$1334),'演算'!$L$40*A31+1,'演算'!$L$40))</f>
      </c>
      <c r="W31" s="974"/>
      <c r="X31" s="975"/>
      <c r="Y31" s="1103">
        <f>WIDECHAR(MID(CONCATENATE('演算'!$M$231,'演算'!$M$498,'演算'!$M$777,'演算'!$M$1056,'演算'!$M$1335),'演算'!$L$49*A31+1,'演算'!$L$49))</f>
      </c>
      <c r="Z31" s="1104"/>
      <c r="AA31" s="1105"/>
      <c r="AB31" s="964">
        <f>MID(CONCATENATE('演算'!$M$232,'演算'!$M$499,'演算'!$M$778,'演算'!$M$1057,'演算'!$M$1336,REPT("　",130)),5*A31+1,5)</f>
      </c>
      <c r="AC31" s="969"/>
      <c r="AD31" s="1103">
        <f t="shared" si="0"/>
      </c>
      <c r="AE31" s="1104"/>
      <c r="AF31" s="952" t="str">
        <f t="shared" si="1"/>
        <v>～</v>
      </c>
      <c r="AG31" s="966">
        <f>MID(CONCATENATE('演算'!$M$233,'演算'!$M$500,'演算'!$M$779,'演算'!$M$1058,'演算'!$M$1337),5*A31+1,5)</f>
      </c>
      <c r="AH31" s="1104">
        <f t="shared" si="2"/>
      </c>
      <c r="AI31" s="1105"/>
      <c r="AJ31" s="953">
        <f>WIDECHAR(MID(CONCATENATE('演算'!$M$234,'演算'!$M$501,'演算'!$M$780,'演算'!$M$1059,'演算'!$M$1338),A31+1,1))</f>
      </c>
      <c r="AL31" s="184">
        <v>25</v>
      </c>
    </row>
    <row r="32" spans="1:38" ht="18" customHeight="1">
      <c r="A32" s="65">
        <v>133</v>
      </c>
      <c r="B32" s="1121">
        <f>WIDECHAR(MID(CONCATENATE('演算'!$Q$10,'演算'!$Q$242,'演算'!$Q$521,'演算'!$Q$800,'演算'!$Q$1079),'演算'!$L$10*A32+1,'演算'!$L$10))</f>
      </c>
      <c r="C32" s="1123"/>
      <c r="D32" s="961">
        <f>WIDECHAR(MID(CONCATENATE('演算'!$Q$18,'演算'!$Q$254,'演算'!$Q$533,'演算'!$Q$812,'演算'!$Q$1091),'演算'!$L$18*A32+1,'演算'!$L$18))</f>
      </c>
      <c r="E32" s="974"/>
      <c r="F32" s="974"/>
      <c r="G32" s="974"/>
      <c r="H32" s="975"/>
      <c r="I32" s="1121">
        <f>WIDECHAR(MID(CONCATENATE('演算'!$Q$25,'演算'!$Q$265,'演算'!$Q$544,'演算'!$Q$823,'演算'!$Q$1102),'演算'!$L$25*A32+1,'演算'!$L$25))</f>
      </c>
      <c r="J32" s="1122"/>
      <c r="K32" s="1122"/>
      <c r="L32" s="961">
        <f>WIDECHAR(MID(CONCATENATE('演算'!$M$229,'演算'!$M$496,'演算'!$M$775,'演算'!$M$1054,'演算'!$M$1333),'演算'!$L$32*A32+1,'演算'!$L$32))</f>
      </c>
      <c r="M32" s="967"/>
      <c r="N32" s="967"/>
      <c r="O32" s="974"/>
      <c r="P32" s="974"/>
      <c r="Q32" s="974"/>
      <c r="R32" s="974"/>
      <c r="S32" s="974"/>
      <c r="T32" s="974"/>
      <c r="U32" s="975"/>
      <c r="V32" s="961">
        <f>WIDECHAR(MID(CONCATENATE('演算'!$M$230,'演算'!$M$497,'演算'!$M$776,'演算'!$M$1055,'演算'!$M$1334),'演算'!$L$40*A32+1,'演算'!$L$40))</f>
      </c>
      <c r="W32" s="974"/>
      <c r="X32" s="975"/>
      <c r="Y32" s="1103">
        <f>WIDECHAR(MID(CONCATENATE('演算'!$M$231,'演算'!$M$498,'演算'!$M$777,'演算'!$M$1056,'演算'!$M$1335),'演算'!$L$49*A32+1,'演算'!$L$49))</f>
      </c>
      <c r="Z32" s="1104"/>
      <c r="AA32" s="1105"/>
      <c r="AB32" s="964">
        <f>MID(CONCATENATE('演算'!$M$232,'演算'!$M$499,'演算'!$M$778,'演算'!$M$1057,'演算'!$M$1336,REPT("　",130)),5*A32+1,5)</f>
      </c>
      <c r="AC32" s="969"/>
      <c r="AD32" s="1103">
        <f t="shared" si="0"/>
      </c>
      <c r="AE32" s="1104"/>
      <c r="AF32" s="952" t="str">
        <f t="shared" si="1"/>
        <v>～</v>
      </c>
      <c r="AG32" s="966">
        <f>MID(CONCATENATE('演算'!$M$233,'演算'!$M$500,'演算'!$M$779,'演算'!$M$1058,'演算'!$M$1337),5*A32+1,5)</f>
      </c>
      <c r="AH32" s="1104">
        <f t="shared" si="2"/>
      </c>
      <c r="AI32" s="1105"/>
      <c r="AJ32" s="953">
        <f>WIDECHAR(MID(CONCATENATE('演算'!$M$234,'演算'!$M$501,'演算'!$M$780,'演算'!$M$1059,'演算'!$M$1338),A32+1,1))</f>
      </c>
      <c r="AL32" s="184">
        <v>26</v>
      </c>
    </row>
    <row r="33" spans="1:38" ht="18" customHeight="1">
      <c r="A33" s="65">
        <v>134</v>
      </c>
      <c r="B33" s="1121">
        <f>WIDECHAR(MID(CONCATENATE('演算'!$Q$10,'演算'!$Q$242,'演算'!$Q$521,'演算'!$Q$800,'演算'!$Q$1079),'演算'!$L$10*A33+1,'演算'!$L$10))</f>
      </c>
      <c r="C33" s="1123"/>
      <c r="D33" s="961">
        <f>WIDECHAR(MID(CONCATENATE('演算'!$Q$18,'演算'!$Q$254,'演算'!$Q$533,'演算'!$Q$812,'演算'!$Q$1091),'演算'!$L$18*A33+1,'演算'!$L$18))</f>
      </c>
      <c r="E33" s="976"/>
      <c r="F33" s="976"/>
      <c r="G33" s="976"/>
      <c r="H33" s="1000"/>
      <c r="I33" s="1121">
        <f>WIDECHAR(MID(CONCATENATE('演算'!$Q$25,'演算'!$Q$265,'演算'!$Q$544,'演算'!$Q$823,'演算'!$Q$1102),'演算'!$L$25*A33+1,'演算'!$L$25))</f>
      </c>
      <c r="J33" s="1122"/>
      <c r="K33" s="1122"/>
      <c r="L33" s="961">
        <f>WIDECHAR(MID(CONCATENATE('演算'!$M$229,'演算'!$M$496,'演算'!$M$775,'演算'!$M$1054,'演算'!$M$1333),'演算'!$L$32*A33+1,'演算'!$L$32))</f>
      </c>
      <c r="M33" s="970"/>
      <c r="N33" s="970"/>
      <c r="O33" s="976"/>
      <c r="P33" s="976"/>
      <c r="Q33" s="976"/>
      <c r="R33" s="976"/>
      <c r="S33" s="976"/>
      <c r="T33" s="976"/>
      <c r="U33" s="977"/>
      <c r="V33" s="961">
        <f>WIDECHAR(MID(CONCATENATE('演算'!$M$230,'演算'!$M$497,'演算'!$M$776,'演算'!$M$1055,'演算'!$M$1334),'演算'!$L$40*A33+1,'演算'!$L$40))</f>
      </c>
      <c r="W33" s="976"/>
      <c r="X33" s="977"/>
      <c r="Y33" s="1103">
        <f>WIDECHAR(MID(CONCATENATE('演算'!$M$231,'演算'!$M$498,'演算'!$M$777,'演算'!$M$1056,'演算'!$M$1335),'演算'!$L$49*A33+1,'演算'!$L$49))</f>
      </c>
      <c r="Z33" s="1104"/>
      <c r="AA33" s="1105"/>
      <c r="AB33" s="964">
        <f>MID(CONCATENATE('演算'!$M$232,'演算'!$M$499,'演算'!$M$778,'演算'!$M$1057,'演算'!$M$1336,REPT("　",130)),5*A33+1,5)</f>
      </c>
      <c r="AC33" s="978"/>
      <c r="AD33" s="1106">
        <f>ASC(AB33)</f>
      </c>
      <c r="AE33" s="1107"/>
      <c r="AF33" s="979" t="str">
        <f>IF(AB33=0,"　",IF(AB33=REPT("　",5)," ","～"))</f>
        <v>～</v>
      </c>
      <c r="AG33" s="966">
        <f>MID(CONCATENATE('演算'!$M$233,'演算'!$M$500,'演算'!$M$779,'演算'!$M$1058,'演算'!$M$1337),5*A33+1,5)</f>
      </c>
      <c r="AH33" s="1107">
        <f>ASC(AG33)</f>
      </c>
      <c r="AI33" s="1098"/>
      <c r="AJ33" s="953">
        <f>WIDECHAR(MID(CONCATENATE('演算'!$M$234,'演算'!$M$501,'演算'!$M$780,'演算'!$M$1059,'演算'!$M$1338),A33+1,1))</f>
      </c>
      <c r="AL33" s="184">
        <v>27</v>
      </c>
    </row>
    <row r="34" spans="1:36" ht="6" customHeight="1">
      <c r="A34" s="180"/>
      <c r="B34" s="803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803"/>
      <c r="AB34" s="980"/>
      <c r="AC34" s="948"/>
      <c r="AD34" s="948"/>
      <c r="AE34" s="948"/>
      <c r="AF34" s="948"/>
      <c r="AG34" s="948"/>
      <c r="AH34" s="948"/>
      <c r="AI34" s="948"/>
      <c r="AJ34" s="803"/>
    </row>
    <row r="35" spans="2:36" ht="15" customHeight="1">
      <c r="B35" s="981"/>
      <c r="C35" s="981"/>
      <c r="D35" s="981"/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1"/>
      <c r="P35" s="981"/>
      <c r="Q35" s="981"/>
      <c r="R35" s="981"/>
      <c r="S35" s="981"/>
      <c r="T35" s="981"/>
      <c r="U35" s="981"/>
      <c r="V35" s="981"/>
      <c r="W35" s="814"/>
      <c r="X35" s="1108" t="s">
        <v>319</v>
      </c>
      <c r="Y35" s="1108"/>
      <c r="Z35" s="1108">
        <f>IF('記入シート'!R16=0,"",WIDECHAR('記入シート'!R16))</f>
      </c>
      <c r="AA35" s="1108"/>
      <c r="AB35" s="958" t="s">
        <v>405</v>
      </c>
      <c r="AC35" s="958" t="s">
        <v>405</v>
      </c>
      <c r="AD35" s="958" t="s">
        <v>405</v>
      </c>
      <c r="AE35" s="982">
        <f>IF('記入シート'!V16=0,"",WIDECHAR('記入シート'!V16))</f>
      </c>
      <c r="AF35" s="949" t="s">
        <v>406</v>
      </c>
      <c r="AG35" s="949"/>
      <c r="AH35" s="949">
        <f>IF('記入シート'!Y16=0,"",WIDECHAR('記入シート'!Y16))</f>
      </c>
      <c r="AI35" s="949" t="s">
        <v>409</v>
      </c>
      <c r="AJ35" s="981"/>
    </row>
  </sheetData>
  <sheetProtection sheet="1" objects="1" scenarios="1" selectLockedCells="1" selectUnlockedCells="1"/>
  <mergeCells count="154">
    <mergeCell ref="Z1:AA1"/>
    <mergeCell ref="D1:U1"/>
    <mergeCell ref="I32:K32"/>
    <mergeCell ref="I33:K33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3:K13"/>
    <mergeCell ref="I14:K14"/>
    <mergeCell ref="U3:Y3"/>
    <mergeCell ref="K3:L3"/>
    <mergeCell ref="I9:K9"/>
    <mergeCell ref="I10:K10"/>
    <mergeCell ref="I11:K11"/>
    <mergeCell ref="I12:K12"/>
    <mergeCell ref="Y14:AA14"/>
    <mergeCell ref="Y7:AA7"/>
    <mergeCell ref="X35:Y35"/>
    <mergeCell ref="Z35:AA3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22:AA22"/>
    <mergeCell ref="Y23:AA23"/>
    <mergeCell ref="Y24:AA24"/>
    <mergeCell ref="Y25:AA25"/>
    <mergeCell ref="Y18:AA18"/>
    <mergeCell ref="Y19:AA19"/>
    <mergeCell ref="Y20:AA20"/>
    <mergeCell ref="Y21:AA21"/>
    <mergeCell ref="Y16:AA16"/>
    <mergeCell ref="Y17:AA17"/>
    <mergeCell ref="Y10:AA10"/>
    <mergeCell ref="Y11:AA11"/>
    <mergeCell ref="Y12:AA12"/>
    <mergeCell ref="Y13:AA13"/>
    <mergeCell ref="Y8:AA8"/>
    <mergeCell ref="Y9:AA9"/>
    <mergeCell ref="AD33:AE33"/>
    <mergeCell ref="AD29:AE29"/>
    <mergeCell ref="AD25:AE25"/>
    <mergeCell ref="AD21:AE21"/>
    <mergeCell ref="AD17:AE17"/>
    <mergeCell ref="AD13:AE13"/>
    <mergeCell ref="AD9:AE9"/>
    <mergeCell ref="Y15:AA15"/>
    <mergeCell ref="AH33:AI33"/>
    <mergeCell ref="AD31:AE31"/>
    <mergeCell ref="AH31:AI31"/>
    <mergeCell ref="AD32:AE32"/>
    <mergeCell ref="AH32:AI32"/>
    <mergeCell ref="AH29:AI29"/>
    <mergeCell ref="AD30:AE30"/>
    <mergeCell ref="AH30:AI30"/>
    <mergeCell ref="AD27:AE27"/>
    <mergeCell ref="AH27:AI27"/>
    <mergeCell ref="AD28:AE28"/>
    <mergeCell ref="AH28:AI28"/>
    <mergeCell ref="AH25:AI25"/>
    <mergeCell ref="AD26:AE26"/>
    <mergeCell ref="AH26:AI26"/>
    <mergeCell ref="AD23:AE23"/>
    <mergeCell ref="AH23:AI23"/>
    <mergeCell ref="AD24:AE24"/>
    <mergeCell ref="AH24:AI24"/>
    <mergeCell ref="AH21:AI21"/>
    <mergeCell ref="AD22:AE22"/>
    <mergeCell ref="AH22:AI22"/>
    <mergeCell ref="AD19:AE19"/>
    <mergeCell ref="AH19:AI19"/>
    <mergeCell ref="AD20:AE20"/>
    <mergeCell ref="AH20:AI20"/>
    <mergeCell ref="AH17:AI17"/>
    <mergeCell ref="AD18:AE18"/>
    <mergeCell ref="AH18:AI18"/>
    <mergeCell ref="AD15:AE15"/>
    <mergeCell ref="AH15:AI15"/>
    <mergeCell ref="AD16:AE16"/>
    <mergeCell ref="AH16:AI16"/>
    <mergeCell ref="AH13:AI13"/>
    <mergeCell ref="AD14:AE14"/>
    <mergeCell ref="AH14:AI14"/>
    <mergeCell ref="AD11:AE11"/>
    <mergeCell ref="AH11:AI11"/>
    <mergeCell ref="AD12:AE12"/>
    <mergeCell ref="AH12:AI12"/>
    <mergeCell ref="AH9:AI9"/>
    <mergeCell ref="AD10:AE10"/>
    <mergeCell ref="AH10:AI10"/>
    <mergeCell ref="AD7:AE7"/>
    <mergeCell ref="AH7:AI7"/>
    <mergeCell ref="AD8:AE8"/>
    <mergeCell ref="AH8:AI8"/>
    <mergeCell ref="B13:C13"/>
    <mergeCell ref="B12:C12"/>
    <mergeCell ref="B11:C11"/>
    <mergeCell ref="B10:C10"/>
    <mergeCell ref="B9:C9"/>
    <mergeCell ref="B6:C6"/>
    <mergeCell ref="D5:K5"/>
    <mergeCell ref="B5:C5"/>
    <mergeCell ref="B7:C7"/>
    <mergeCell ref="B8:C8"/>
    <mergeCell ref="I7:K7"/>
    <mergeCell ref="I8:K8"/>
    <mergeCell ref="B17:C17"/>
    <mergeCell ref="B16:C16"/>
    <mergeCell ref="B15:C15"/>
    <mergeCell ref="B14:C14"/>
    <mergeCell ref="B21:C21"/>
    <mergeCell ref="B20:C20"/>
    <mergeCell ref="B19:C19"/>
    <mergeCell ref="B18:C18"/>
    <mergeCell ref="B26:C26"/>
    <mergeCell ref="B27:C27"/>
    <mergeCell ref="B28:C28"/>
    <mergeCell ref="B22:C22"/>
    <mergeCell ref="B23:C23"/>
    <mergeCell ref="B24:C24"/>
    <mergeCell ref="B25:C25"/>
    <mergeCell ref="B4:AJ4"/>
    <mergeCell ref="C3:D3"/>
    <mergeCell ref="H3:I3"/>
    <mergeCell ref="L6:U6"/>
    <mergeCell ref="I6:K6"/>
    <mergeCell ref="D6:H6"/>
    <mergeCell ref="Y6:AA6"/>
    <mergeCell ref="B33:C33"/>
    <mergeCell ref="B29:C29"/>
    <mergeCell ref="B30:C30"/>
    <mergeCell ref="B31:C31"/>
    <mergeCell ref="B32:C32"/>
    <mergeCell ref="L5:AJ5"/>
    <mergeCell ref="V6:X6"/>
    <mergeCell ref="AB6:AI6"/>
    <mergeCell ref="I15:K15"/>
  </mergeCells>
  <printOptions horizontalCentered="1"/>
  <pageMargins left="0" right="0" top="0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DB1355"/>
  <sheetViews>
    <sheetView workbookViewId="0" topLeftCell="A1">
      <pane xSplit="3" ySplit="9" topLeftCell="D9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8" sqref="G8:H8"/>
    </sheetView>
  </sheetViews>
  <sheetFormatPr defaultColWidth="9.00390625" defaultRowHeight="13.5"/>
  <cols>
    <col min="1" max="1" width="1.25" style="186" customWidth="1"/>
    <col min="2" max="2" width="3.875" style="185" customWidth="1"/>
    <col min="3" max="3" width="5.125" style="186" customWidth="1"/>
    <col min="4" max="4" width="4.00390625" style="187" customWidth="1"/>
    <col min="5" max="5" width="8.625" style="186" customWidth="1"/>
    <col min="6" max="6" width="27.375" style="186" customWidth="1"/>
    <col min="7" max="7" width="2.50390625" style="205" customWidth="1"/>
    <col min="8" max="8" width="3.625" style="188" customWidth="1"/>
    <col min="9" max="9" width="3.125" style="189" customWidth="1"/>
    <col min="10" max="10" width="3.25390625" style="1004" customWidth="1"/>
    <col min="11" max="11" width="5.00390625" style="1018" customWidth="1"/>
    <col min="12" max="12" width="7.25390625" style="190" customWidth="1"/>
    <col min="13" max="13" width="5.50390625" style="186" customWidth="1"/>
    <col min="14" max="14" width="20.625" style="186" customWidth="1"/>
    <col min="15" max="15" width="5.625" style="188" customWidth="1"/>
    <col min="16" max="16" width="3.625" style="191" customWidth="1"/>
    <col min="17" max="17" width="11.875" style="192" customWidth="1"/>
    <col min="18" max="18" width="8.125" style="192" customWidth="1"/>
    <col min="19" max="19" width="3.125" style="192" customWidth="1"/>
    <col min="20" max="20" width="13.25390625" style="192" customWidth="1"/>
    <col min="21" max="22" width="1.25" style="186" customWidth="1"/>
    <col min="23" max="23" width="9.00390625" style="186" customWidth="1"/>
  </cols>
  <sheetData>
    <row r="1" ht="7.5" customHeight="1"/>
    <row r="2" spans="17:20" ht="18" customHeight="1">
      <c r="Q2" s="1849" t="s">
        <v>450</v>
      </c>
      <c r="R2" s="1850"/>
      <c r="S2" s="1850"/>
      <c r="T2" s="1851"/>
    </row>
    <row r="3" spans="3:17" ht="13.5" customHeight="1">
      <c r="C3" s="1208" t="s">
        <v>199</v>
      </c>
      <c r="D3" s="1209"/>
      <c r="E3" s="1209"/>
      <c r="F3" s="1209"/>
      <c r="G3" s="1209"/>
      <c r="H3" s="1209"/>
      <c r="I3" s="1210"/>
      <c r="J3" s="1974" t="s">
        <v>446</v>
      </c>
      <c r="K3" s="1876"/>
      <c r="L3" s="254" t="s">
        <v>448</v>
      </c>
      <c r="M3" s="255" t="s">
        <v>446</v>
      </c>
      <c r="N3" s="1874"/>
      <c r="O3" s="1875"/>
      <c r="P3" s="1876"/>
      <c r="Q3" s="256" t="s">
        <v>113</v>
      </c>
    </row>
    <row r="4" spans="3:18" ht="13.5" customHeight="1">
      <c r="C4" s="1211"/>
      <c r="D4" s="1212"/>
      <c r="E4" s="1212"/>
      <c r="F4" s="1212"/>
      <c r="G4" s="1212"/>
      <c r="H4" s="1212"/>
      <c r="I4" s="1213"/>
      <c r="J4" s="1061" t="s">
        <v>447</v>
      </c>
      <c r="K4" s="1062"/>
      <c r="L4" s="1848" t="s">
        <v>449</v>
      </c>
      <c r="M4" s="258" t="s">
        <v>142</v>
      </c>
      <c r="N4" s="1877"/>
      <c r="O4" s="1878"/>
      <c r="P4" s="1062"/>
      <c r="Q4" s="1852" t="s">
        <v>114</v>
      </c>
      <c r="R4" s="1853"/>
    </row>
    <row r="5" spans="3:19" ht="13.5" customHeight="1">
      <c r="C5" s="1211" t="s">
        <v>11</v>
      </c>
      <c r="D5" s="1212"/>
      <c r="E5" s="1212"/>
      <c r="F5" s="1212"/>
      <c r="G5" s="1212"/>
      <c r="H5" s="1212"/>
      <c r="I5" s="1213"/>
      <c r="J5" s="1061" t="s">
        <v>422</v>
      </c>
      <c r="K5" s="1062"/>
      <c r="L5" s="1848"/>
      <c r="M5" s="258" t="s">
        <v>363</v>
      </c>
      <c r="N5" s="1877"/>
      <c r="O5" s="1878"/>
      <c r="P5" s="1062"/>
      <c r="Q5" s="1852" t="s">
        <v>115</v>
      </c>
      <c r="R5" s="1854"/>
      <c r="S5" s="1853"/>
    </row>
    <row r="6" spans="3:20" ht="13.5" customHeight="1">
      <c r="C6" s="1214"/>
      <c r="D6" s="1215"/>
      <c r="E6" s="1215"/>
      <c r="F6" s="1215"/>
      <c r="G6" s="1215"/>
      <c r="H6" s="1215"/>
      <c r="I6" s="1216"/>
      <c r="J6" s="1975" t="s">
        <v>421</v>
      </c>
      <c r="K6" s="1881"/>
      <c r="L6" s="262" t="s">
        <v>420</v>
      </c>
      <c r="M6" s="263" t="s">
        <v>143</v>
      </c>
      <c r="N6" s="1879"/>
      <c r="O6" s="1880"/>
      <c r="P6" s="1881"/>
      <c r="Q6" s="1849" t="s">
        <v>116</v>
      </c>
      <c r="R6" s="1850"/>
      <c r="S6" s="1850"/>
      <c r="T6" s="1851"/>
    </row>
    <row r="7" spans="3:20" ht="3.75" customHeight="1">
      <c r="C7" s="257"/>
      <c r="D7" s="257"/>
      <c r="E7" s="257"/>
      <c r="F7" s="257"/>
      <c r="G7" s="257"/>
      <c r="H7" s="257"/>
      <c r="I7" s="257"/>
      <c r="L7" s="265"/>
      <c r="M7" s="265"/>
      <c r="N7" s="259"/>
      <c r="O7" s="259"/>
      <c r="P7" s="259"/>
      <c r="Q7" s="260"/>
      <c r="R7" s="260"/>
      <c r="S7" s="260"/>
      <c r="T7" s="266"/>
    </row>
    <row r="8" spans="1:23" s="180" customFormat="1" ht="19.5" customHeight="1">
      <c r="A8" s="205"/>
      <c r="B8" s="857"/>
      <c r="C8" s="257"/>
      <c r="D8" s="257"/>
      <c r="E8" s="181" t="s">
        <v>171</v>
      </c>
      <c r="F8" s="182"/>
      <c r="G8" s="1846">
        <v>5</v>
      </c>
      <c r="H8" s="1847"/>
      <c r="I8" s="183" t="s">
        <v>172</v>
      </c>
      <c r="J8" s="1004"/>
      <c r="K8" s="1018"/>
      <c r="L8" s="265"/>
      <c r="M8" s="265"/>
      <c r="N8" s="259"/>
      <c r="O8" s="259"/>
      <c r="P8" s="259"/>
      <c r="Q8" s="266"/>
      <c r="R8" s="266"/>
      <c r="S8" s="266"/>
      <c r="T8" s="266"/>
      <c r="U8" s="205"/>
      <c r="V8" s="205"/>
      <c r="W8" s="205"/>
    </row>
    <row r="9" spans="1:23" s="180" customFormat="1" ht="3.75" customHeight="1">
      <c r="A9" s="205"/>
      <c r="B9" s="857"/>
      <c r="C9" s="257"/>
      <c r="D9" s="261"/>
      <c r="E9" s="267"/>
      <c r="F9" s="267"/>
      <c r="G9" s="267"/>
      <c r="H9" s="268"/>
      <c r="I9" s="268"/>
      <c r="J9" s="1004"/>
      <c r="K9" s="1018"/>
      <c r="L9" s="265"/>
      <c r="M9" s="265"/>
      <c r="N9" s="264"/>
      <c r="O9" s="264"/>
      <c r="P9" s="264"/>
      <c r="Q9" s="266"/>
      <c r="R9" s="266"/>
      <c r="S9" s="266"/>
      <c r="T9" s="266"/>
      <c r="U9" s="205"/>
      <c r="V9" s="205"/>
      <c r="W9" s="205"/>
    </row>
    <row r="10" spans="2:20" s="186" customFormat="1" ht="19.5" customHeight="1" thickBot="1">
      <c r="B10" s="1812" t="s">
        <v>101</v>
      </c>
      <c r="C10" s="1845" t="s">
        <v>443</v>
      </c>
      <c r="D10" s="269" t="s">
        <v>437</v>
      </c>
      <c r="E10" s="270"/>
      <c r="F10" s="271"/>
      <c r="G10" s="1448">
        <f>L10*M10</f>
        <v>1620</v>
      </c>
      <c r="H10" s="1449"/>
      <c r="I10" s="271" t="s">
        <v>452</v>
      </c>
      <c r="J10" s="1671" t="s">
        <v>73</v>
      </c>
      <c r="K10" s="1976">
        <f ca="1">CELL("row",'記入シート'!C25)</f>
        <v>25</v>
      </c>
      <c r="L10" s="1840">
        <v>12</v>
      </c>
      <c r="M10" s="1842">
        <f>G8*27</f>
        <v>135</v>
      </c>
      <c r="N10" s="1493" t="s">
        <v>444</v>
      </c>
      <c r="O10" s="1667">
        <f>G233-G15+G239</f>
        <v>1</v>
      </c>
      <c r="P10" s="1194" t="s">
        <v>453</v>
      </c>
      <c r="Q10" s="1855" t="str">
        <f>IF(G236="OVER","＃１は超過につき表示不可",IF(G14=0,REPT("　",(G233+G239)*L10),CONCATENATE("＃１　",'記入シート'!C25,REPT("　",O12))))</f>
        <v>　　　　　　　　　　　　</v>
      </c>
      <c r="R10" s="1856"/>
      <c r="S10" s="1857"/>
      <c r="T10" s="192"/>
    </row>
    <row r="11" spans="2:19" ht="19.5" customHeight="1" thickBot="1">
      <c r="B11" s="1813"/>
      <c r="C11" s="1346"/>
      <c r="D11" s="269" t="s">
        <v>139</v>
      </c>
      <c r="E11" s="270"/>
      <c r="F11" s="271"/>
      <c r="G11" s="1206">
        <f>IF(G10&gt;3,G10-3,0)</f>
        <v>1617</v>
      </c>
      <c r="H11" s="1207"/>
      <c r="I11" s="796" t="s">
        <v>452</v>
      </c>
      <c r="J11" s="1689"/>
      <c r="K11" s="1198"/>
      <c r="L11" s="1823"/>
      <c r="M11" s="1843"/>
      <c r="N11" s="1494"/>
      <c r="O11" s="1662"/>
      <c r="P11" s="1195"/>
      <c r="Q11" s="1858"/>
      <c r="R11" s="1859"/>
      <c r="S11" s="1860"/>
    </row>
    <row r="12" spans="2:19" ht="19.5" customHeight="1" thickBot="1">
      <c r="B12" s="1814"/>
      <c r="C12" s="1346"/>
      <c r="D12" s="277" t="s">
        <v>168</v>
      </c>
      <c r="E12" s="278"/>
      <c r="F12" s="271"/>
      <c r="G12" s="1448">
        <f>LEN('記入シート'!C25)</f>
        <v>0</v>
      </c>
      <c r="H12" s="1449"/>
      <c r="I12" s="271" t="s">
        <v>452</v>
      </c>
      <c r="J12" s="1689"/>
      <c r="K12" s="1198"/>
      <c r="L12" s="1823"/>
      <c r="M12" s="1843"/>
      <c r="N12" s="279" t="s">
        <v>445</v>
      </c>
      <c r="O12" s="272">
        <f>ABS(G16)+(O10*L10)</f>
        <v>12</v>
      </c>
      <c r="P12" s="280" t="s">
        <v>452</v>
      </c>
      <c r="Q12" s="1858"/>
      <c r="R12" s="1859"/>
      <c r="S12" s="1860"/>
    </row>
    <row r="13" spans="2:19" ht="19.5" customHeight="1" thickBot="1">
      <c r="B13" s="1814"/>
      <c r="C13" s="1346"/>
      <c r="D13" s="277" t="s">
        <v>167</v>
      </c>
      <c r="E13" s="278"/>
      <c r="F13" s="271"/>
      <c r="G13" s="1110" t="str">
        <f>IF(G12&gt;G10,"OVER","INSIDE")</f>
        <v>INSIDE</v>
      </c>
      <c r="H13" s="1111"/>
      <c r="I13" s="1112"/>
      <c r="J13" s="1689"/>
      <c r="K13" s="1198"/>
      <c r="L13" s="1823"/>
      <c r="M13" s="1843"/>
      <c r="N13" s="281"/>
      <c r="O13" s="282"/>
      <c r="P13" s="283"/>
      <c r="Q13" s="1858"/>
      <c r="R13" s="1859"/>
      <c r="S13" s="1860"/>
    </row>
    <row r="14" spans="2:19" ht="19.5" customHeight="1" thickBot="1">
      <c r="B14" s="1814"/>
      <c r="C14" s="1346"/>
      <c r="D14" s="277" t="s">
        <v>169</v>
      </c>
      <c r="E14" s="278"/>
      <c r="F14" s="271"/>
      <c r="G14" s="1448">
        <f>IF(G12=0,0,IF(G13="OVER",0,G12+3))</f>
        <v>0</v>
      </c>
      <c r="H14" s="1449"/>
      <c r="I14" s="271" t="s">
        <v>452</v>
      </c>
      <c r="J14" s="1689"/>
      <c r="K14" s="1198"/>
      <c r="L14" s="1823"/>
      <c r="M14" s="1843"/>
      <c r="N14" s="284"/>
      <c r="O14" s="285"/>
      <c r="P14" s="286"/>
      <c r="Q14" s="1858"/>
      <c r="R14" s="1859"/>
      <c r="S14" s="1860"/>
    </row>
    <row r="15" spans="2:19" ht="19.5" customHeight="1" thickBot="1">
      <c r="B15" s="1814"/>
      <c r="C15" s="1346"/>
      <c r="D15" s="269" t="s">
        <v>121</v>
      </c>
      <c r="E15" s="270"/>
      <c r="F15" s="271"/>
      <c r="G15" s="1448">
        <f>ROUNDUP(G14/$L$10,0)</f>
        <v>0</v>
      </c>
      <c r="H15" s="1449"/>
      <c r="I15" s="271" t="s">
        <v>453</v>
      </c>
      <c r="J15" s="1689"/>
      <c r="K15" s="1198"/>
      <c r="L15" s="1823"/>
      <c r="M15" s="1843"/>
      <c r="N15" s="284"/>
      <c r="O15" s="285"/>
      <c r="P15" s="286"/>
      <c r="Q15" s="1858"/>
      <c r="R15" s="1859"/>
      <c r="S15" s="1860"/>
    </row>
    <row r="16" spans="2:19" ht="19.5" customHeight="1" thickBot="1">
      <c r="B16" s="1814"/>
      <c r="C16" s="1346"/>
      <c r="D16" s="269" t="s">
        <v>419</v>
      </c>
      <c r="E16" s="270"/>
      <c r="F16" s="271"/>
      <c r="G16" s="1448">
        <f>IF(G13="INSIDE",G14-G15*$L$10,0)</f>
        <v>0</v>
      </c>
      <c r="H16" s="1449"/>
      <c r="I16" s="271" t="s">
        <v>452</v>
      </c>
      <c r="J16" s="1689"/>
      <c r="K16" s="1198"/>
      <c r="L16" s="1823"/>
      <c r="M16" s="1843"/>
      <c r="N16" s="284"/>
      <c r="O16" s="285"/>
      <c r="P16" s="286"/>
      <c r="Q16" s="1858"/>
      <c r="R16" s="1859"/>
      <c r="S16" s="1860"/>
    </row>
    <row r="17" spans="2:19" ht="19.5" customHeight="1" thickBot="1">
      <c r="B17" s="1814"/>
      <c r="C17" s="1346"/>
      <c r="D17" s="269" t="s">
        <v>423</v>
      </c>
      <c r="E17" s="270"/>
      <c r="F17" s="222"/>
      <c r="G17" s="1496">
        <f>G15*$L$10</f>
        <v>0</v>
      </c>
      <c r="H17" s="1497"/>
      <c r="I17" s="271" t="s">
        <v>452</v>
      </c>
      <c r="J17" s="1716"/>
      <c r="K17" s="1201"/>
      <c r="L17" s="1841"/>
      <c r="M17" s="1844"/>
      <c r="N17" s="284"/>
      <c r="O17" s="285"/>
      <c r="P17" s="286"/>
      <c r="Q17" s="1861"/>
      <c r="R17" s="1862"/>
      <c r="S17" s="1863"/>
    </row>
    <row r="18" spans="2:18" ht="19.5" customHeight="1" thickBot="1">
      <c r="B18" s="1814" t="s">
        <v>101</v>
      </c>
      <c r="C18" s="1349" t="s">
        <v>417</v>
      </c>
      <c r="D18" s="288" t="s">
        <v>437</v>
      </c>
      <c r="E18" s="289"/>
      <c r="F18" s="290"/>
      <c r="G18" s="1246">
        <f>L18*M18</f>
        <v>1350</v>
      </c>
      <c r="H18" s="1247"/>
      <c r="I18" s="795" t="s">
        <v>452</v>
      </c>
      <c r="J18" s="1689" t="s">
        <v>73</v>
      </c>
      <c r="K18" s="1197">
        <f ca="1">CELL("row",'記入シート'!C31)</f>
        <v>31</v>
      </c>
      <c r="L18" s="1823">
        <v>10</v>
      </c>
      <c r="M18" s="1839">
        <f>$M$10</f>
        <v>135</v>
      </c>
      <c r="N18" s="1495" t="s">
        <v>444</v>
      </c>
      <c r="O18" s="1661">
        <f>G233-G22+G239</f>
        <v>1</v>
      </c>
      <c r="P18" s="1203" t="s">
        <v>453</v>
      </c>
      <c r="Q18" s="1864" t="str">
        <f>IF(G236="OVER","＃１は超過で表示不可",IF(G21=0,REPT("　",(G233+G239)*L18),CONCATENATE('記入シート'!C31,REPT("　",O20))))</f>
        <v>　　　　　　　　　　</v>
      </c>
      <c r="R18" s="1865"/>
    </row>
    <row r="19" spans="2:18" ht="19.5" customHeight="1" thickBot="1">
      <c r="B19" s="1814"/>
      <c r="C19" s="1350"/>
      <c r="D19" s="269" t="s">
        <v>438</v>
      </c>
      <c r="E19" s="270"/>
      <c r="F19" s="275"/>
      <c r="G19" s="1448">
        <f>LEN('記入シート'!C31)</f>
        <v>0</v>
      </c>
      <c r="H19" s="1449"/>
      <c r="I19" s="271" t="s">
        <v>452</v>
      </c>
      <c r="J19" s="1689"/>
      <c r="K19" s="1198"/>
      <c r="L19" s="1823"/>
      <c r="M19" s="1839"/>
      <c r="N19" s="1494"/>
      <c r="O19" s="1662"/>
      <c r="P19" s="1195"/>
      <c r="Q19" s="1864"/>
      <c r="R19" s="1865"/>
    </row>
    <row r="20" spans="2:18" ht="19.5" customHeight="1" thickBot="1">
      <c r="B20" s="1814"/>
      <c r="C20" s="1350"/>
      <c r="D20" s="277" t="s">
        <v>167</v>
      </c>
      <c r="E20" s="270"/>
      <c r="F20" s="275"/>
      <c r="G20" s="1110" t="str">
        <f>IF(G19&gt;G18,"OVER","INSIDE")</f>
        <v>INSIDE</v>
      </c>
      <c r="H20" s="1111"/>
      <c r="I20" s="1112"/>
      <c r="J20" s="1689"/>
      <c r="K20" s="1198"/>
      <c r="L20" s="1823"/>
      <c r="M20" s="1839"/>
      <c r="N20" s="279" t="s">
        <v>445</v>
      </c>
      <c r="O20" s="272">
        <f>ABS(G23)+O18*$L$18</f>
        <v>10</v>
      </c>
      <c r="P20" s="280" t="s">
        <v>452</v>
      </c>
      <c r="Q20" s="1864"/>
      <c r="R20" s="1865"/>
    </row>
    <row r="21" spans="2:18" ht="19.5" customHeight="1" thickBot="1">
      <c r="B21" s="1814"/>
      <c r="C21" s="1350"/>
      <c r="D21" s="277" t="s">
        <v>170</v>
      </c>
      <c r="E21" s="270"/>
      <c r="F21" s="275"/>
      <c r="G21" s="1448">
        <f>IF(G20="OVER",0,G19)</f>
        <v>0</v>
      </c>
      <c r="H21" s="1449"/>
      <c r="I21" s="271" t="s">
        <v>452</v>
      </c>
      <c r="J21" s="1689"/>
      <c r="K21" s="1198"/>
      <c r="L21" s="1823"/>
      <c r="M21" s="1839"/>
      <c r="N21" s="284"/>
      <c r="O21" s="285"/>
      <c r="P21" s="286"/>
      <c r="Q21" s="1864"/>
      <c r="R21" s="1865"/>
    </row>
    <row r="22" spans="2:18" ht="19.5" customHeight="1" thickBot="1">
      <c r="B22" s="1814"/>
      <c r="C22" s="1350"/>
      <c r="D22" s="269" t="s">
        <v>451</v>
      </c>
      <c r="E22" s="270"/>
      <c r="F22" s="275"/>
      <c r="G22" s="1448">
        <f>IF(G20="INSIDE",ROUNDUP(G19/$L$18,0),0)</f>
        <v>0</v>
      </c>
      <c r="H22" s="1449"/>
      <c r="I22" s="271" t="s">
        <v>453</v>
      </c>
      <c r="J22" s="1689"/>
      <c r="K22" s="1198"/>
      <c r="L22" s="1823"/>
      <c r="M22" s="1839"/>
      <c r="N22" s="284"/>
      <c r="O22" s="285"/>
      <c r="P22" s="286"/>
      <c r="Q22" s="1864"/>
      <c r="R22" s="1865"/>
    </row>
    <row r="23" spans="2:18" ht="19.5" customHeight="1" thickBot="1">
      <c r="B23" s="1814"/>
      <c r="C23" s="1350"/>
      <c r="D23" s="269" t="s">
        <v>439</v>
      </c>
      <c r="E23" s="270"/>
      <c r="F23" s="271"/>
      <c r="G23" s="1448">
        <f>IF(G20="INSIDE",G19-G22*$L$18,0)</f>
        <v>0</v>
      </c>
      <c r="H23" s="1449"/>
      <c r="I23" s="271" t="s">
        <v>452</v>
      </c>
      <c r="J23" s="1689"/>
      <c r="K23" s="1198"/>
      <c r="L23" s="1823"/>
      <c r="M23" s="1839"/>
      <c r="N23" s="284"/>
      <c r="O23" s="285"/>
      <c r="P23" s="286"/>
      <c r="Q23" s="1864"/>
      <c r="R23" s="1865"/>
    </row>
    <row r="24" spans="2:18" ht="19.5" customHeight="1" thickBot="1">
      <c r="B24" s="1814"/>
      <c r="C24" s="1350"/>
      <c r="D24" s="269" t="s">
        <v>440</v>
      </c>
      <c r="E24" s="270"/>
      <c r="F24" s="222"/>
      <c r="G24" s="1496">
        <f>G22*$L$18</f>
        <v>0</v>
      </c>
      <c r="H24" s="1497"/>
      <c r="I24" s="271" t="s">
        <v>452</v>
      </c>
      <c r="J24" s="1689"/>
      <c r="K24" s="1201"/>
      <c r="L24" s="1823"/>
      <c r="M24" s="1839"/>
      <c r="N24" s="291"/>
      <c r="O24" s="292"/>
      <c r="P24" s="293"/>
      <c r="Q24" s="1864"/>
      <c r="R24" s="1865"/>
    </row>
    <row r="25" spans="2:18" ht="19.5" customHeight="1" thickBot="1">
      <c r="B25" s="1814" t="s">
        <v>100</v>
      </c>
      <c r="C25" s="1333" t="s">
        <v>418</v>
      </c>
      <c r="D25" s="288" t="s">
        <v>437</v>
      </c>
      <c r="E25" s="289"/>
      <c r="F25" s="290"/>
      <c r="G25" s="1246">
        <f>L25*M25</f>
        <v>1350</v>
      </c>
      <c r="H25" s="1247"/>
      <c r="I25" s="795" t="s">
        <v>452</v>
      </c>
      <c r="J25" s="1688" t="s">
        <v>73</v>
      </c>
      <c r="K25" s="1197">
        <f ca="1">CELL("row",'記入シート'!C37)</f>
        <v>37</v>
      </c>
      <c r="L25" s="1822">
        <v>10</v>
      </c>
      <c r="M25" s="1838">
        <f>$M$10</f>
        <v>135</v>
      </c>
      <c r="N25" s="1495" t="s">
        <v>444</v>
      </c>
      <c r="O25" s="1661">
        <f>G233-G29+G239</f>
        <v>1</v>
      </c>
      <c r="P25" s="1203" t="s">
        <v>453</v>
      </c>
      <c r="Q25" s="1866" t="str">
        <f>IF(G236="OVER","＃１は超過で表示不可",IF(G28=0,REPT("　",(G233+G239)*L25),CONCATENATE('記入シート'!C37,REPT("　",O27))))</f>
        <v>　　　　　　　　　　</v>
      </c>
      <c r="R25" s="1867"/>
    </row>
    <row r="26" spans="2:18" ht="19.5" customHeight="1" thickBot="1">
      <c r="B26" s="1814"/>
      <c r="C26" s="1334"/>
      <c r="D26" s="269" t="s">
        <v>438</v>
      </c>
      <c r="E26" s="270"/>
      <c r="F26" s="275"/>
      <c r="G26" s="1448">
        <f>LEN('記入シート'!C37)</f>
        <v>0</v>
      </c>
      <c r="H26" s="1449"/>
      <c r="I26" s="271" t="s">
        <v>452</v>
      </c>
      <c r="J26" s="1689"/>
      <c r="K26" s="1198"/>
      <c r="L26" s="1823"/>
      <c r="M26" s="1839"/>
      <c r="N26" s="1494"/>
      <c r="O26" s="1662"/>
      <c r="P26" s="1195"/>
      <c r="Q26" s="1868"/>
      <c r="R26" s="1869"/>
    </row>
    <row r="27" spans="2:18" ht="19.5" customHeight="1" thickBot="1">
      <c r="B27" s="1814"/>
      <c r="C27" s="1334"/>
      <c r="D27" s="277" t="s">
        <v>167</v>
      </c>
      <c r="E27" s="270"/>
      <c r="F27" s="275"/>
      <c r="G27" s="1110" t="str">
        <f>IF(G26&gt;G25,"OVER","INSIDE")</f>
        <v>INSIDE</v>
      </c>
      <c r="H27" s="1111"/>
      <c r="I27" s="1112"/>
      <c r="J27" s="1689"/>
      <c r="K27" s="1198"/>
      <c r="L27" s="1823"/>
      <c r="M27" s="1839"/>
      <c r="N27" s="279" t="s">
        <v>445</v>
      </c>
      <c r="O27" s="272">
        <f>ABS(G30)+O25*L25</f>
        <v>10</v>
      </c>
      <c r="P27" s="280" t="s">
        <v>452</v>
      </c>
      <c r="Q27" s="1868"/>
      <c r="R27" s="1869"/>
    </row>
    <row r="28" spans="2:18" ht="19.5" customHeight="1" thickBot="1">
      <c r="B28" s="1814"/>
      <c r="C28" s="1334"/>
      <c r="D28" s="277" t="s">
        <v>170</v>
      </c>
      <c r="E28" s="270"/>
      <c r="F28" s="275"/>
      <c r="G28" s="1448">
        <f>IF(G27="OVER",0,G26)</f>
        <v>0</v>
      </c>
      <c r="H28" s="1449"/>
      <c r="I28" s="271" t="s">
        <v>452</v>
      </c>
      <c r="J28" s="1689"/>
      <c r="K28" s="1198"/>
      <c r="L28" s="1823"/>
      <c r="M28" s="1839"/>
      <c r="N28" s="281"/>
      <c r="O28" s="282"/>
      <c r="P28" s="283"/>
      <c r="Q28" s="1868"/>
      <c r="R28" s="1869"/>
    </row>
    <row r="29" spans="2:18" ht="19.5" customHeight="1" thickBot="1">
      <c r="B29" s="1814"/>
      <c r="C29" s="1334"/>
      <c r="D29" s="269" t="s">
        <v>451</v>
      </c>
      <c r="E29" s="270"/>
      <c r="F29" s="275"/>
      <c r="G29" s="1448">
        <f>IF(G27="INSIDE",ROUNDUP(G26/$L$25,0),0)</f>
        <v>0</v>
      </c>
      <c r="H29" s="1449"/>
      <c r="I29" s="271" t="s">
        <v>453</v>
      </c>
      <c r="J29" s="1689"/>
      <c r="K29" s="1198"/>
      <c r="L29" s="1823"/>
      <c r="M29" s="1839"/>
      <c r="N29" s="284"/>
      <c r="O29" s="285"/>
      <c r="P29" s="286"/>
      <c r="Q29" s="1868"/>
      <c r="R29" s="1869"/>
    </row>
    <row r="30" spans="2:18" ht="19.5" customHeight="1" thickBot="1">
      <c r="B30" s="1814"/>
      <c r="C30" s="1334"/>
      <c r="D30" s="269" t="s">
        <v>439</v>
      </c>
      <c r="E30" s="270"/>
      <c r="F30" s="271"/>
      <c r="G30" s="1448">
        <f>IF(G27="INSIDE",G26-G29*$L$25,0)</f>
        <v>0</v>
      </c>
      <c r="H30" s="1449"/>
      <c r="I30" s="271" t="s">
        <v>452</v>
      </c>
      <c r="J30" s="1689"/>
      <c r="K30" s="1198"/>
      <c r="L30" s="1823"/>
      <c r="M30" s="1839"/>
      <c r="N30" s="284"/>
      <c r="O30" s="285"/>
      <c r="P30" s="286"/>
      <c r="Q30" s="1868"/>
      <c r="R30" s="1869"/>
    </row>
    <row r="31" spans="2:18" ht="19.5" customHeight="1" thickBot="1">
      <c r="B31" s="1814"/>
      <c r="C31" s="1334"/>
      <c r="D31" s="294" t="s">
        <v>440</v>
      </c>
      <c r="E31" s="295"/>
      <c r="F31" s="222"/>
      <c r="G31" s="1496">
        <f>G29*$L$25</f>
        <v>0</v>
      </c>
      <c r="H31" s="1497"/>
      <c r="I31" s="222" t="s">
        <v>452</v>
      </c>
      <c r="J31" s="1689"/>
      <c r="K31" s="1201"/>
      <c r="L31" s="1823"/>
      <c r="M31" s="1839"/>
      <c r="N31" s="291"/>
      <c r="O31" s="292"/>
      <c r="P31" s="293"/>
      <c r="Q31" s="1868"/>
      <c r="R31" s="1869"/>
    </row>
    <row r="32" spans="2:20" ht="19.5" customHeight="1" thickTop="1">
      <c r="B32" s="1816" t="s">
        <v>102</v>
      </c>
      <c r="C32" s="1816" t="s">
        <v>400</v>
      </c>
      <c r="D32" s="1908" t="s">
        <v>472</v>
      </c>
      <c r="E32" s="296" t="s">
        <v>437</v>
      </c>
      <c r="F32" s="290"/>
      <c r="G32" s="1450">
        <f>L32*M32</f>
        <v>2565</v>
      </c>
      <c r="H32" s="1451"/>
      <c r="I32" s="290" t="s">
        <v>452</v>
      </c>
      <c r="J32" s="1688" t="s">
        <v>73</v>
      </c>
      <c r="K32" s="1197">
        <f ca="1">CELL("row",'記入シート'!C43)</f>
        <v>43</v>
      </c>
      <c r="L32" s="1822">
        <v>19</v>
      </c>
      <c r="M32" s="1870">
        <f>$M$10</f>
        <v>135</v>
      </c>
      <c r="N32" s="1909" t="s">
        <v>481</v>
      </c>
      <c r="O32" s="1661">
        <f>O54-G37</f>
        <v>0</v>
      </c>
      <c r="P32" s="1203" t="s">
        <v>453</v>
      </c>
      <c r="Q32" s="1263">
        <f>IF(G36=0,REPT("　",O55*L32),CONCATENATE("①　",'記入シート'!C43,REPT("　",O32*L32+ABS(G38))))</f>
      </c>
      <c r="R32" s="1264"/>
      <c r="S32" s="1264"/>
      <c r="T32" s="1710"/>
    </row>
    <row r="33" spans="2:20" ht="19.5" customHeight="1">
      <c r="B33" s="1674"/>
      <c r="C33" s="1674"/>
      <c r="D33" s="1700"/>
      <c r="E33" s="297" t="s">
        <v>138</v>
      </c>
      <c r="F33" s="298"/>
      <c r="G33" s="1206">
        <f>IF(G32&gt;2,G32-2,0)</f>
        <v>2563</v>
      </c>
      <c r="H33" s="1207"/>
      <c r="I33" s="796" t="s">
        <v>452</v>
      </c>
      <c r="J33" s="1689"/>
      <c r="K33" s="1198"/>
      <c r="L33" s="1823"/>
      <c r="M33" s="1871"/>
      <c r="N33" s="1698"/>
      <c r="O33" s="1676"/>
      <c r="P33" s="1677"/>
      <c r="Q33" s="1266"/>
      <c r="R33" s="1267"/>
      <c r="S33" s="1267"/>
      <c r="T33" s="1711"/>
    </row>
    <row r="34" spans="2:20" ht="19.5" customHeight="1">
      <c r="B34" s="1674"/>
      <c r="C34" s="1674"/>
      <c r="D34" s="1700"/>
      <c r="E34" s="300" t="s">
        <v>149</v>
      </c>
      <c r="F34" s="301"/>
      <c r="G34" s="1452">
        <f>LEN('記入シート'!C43)</f>
        <v>0</v>
      </c>
      <c r="H34" s="1453"/>
      <c r="I34" s="298" t="s">
        <v>452</v>
      </c>
      <c r="J34" s="1689"/>
      <c r="K34" s="1198"/>
      <c r="L34" s="1823"/>
      <c r="M34" s="1872"/>
      <c r="N34" s="302"/>
      <c r="O34" s="295"/>
      <c r="P34" s="283"/>
      <c r="Q34" s="1266"/>
      <c r="R34" s="1267"/>
      <c r="S34" s="1267"/>
      <c r="T34" s="1711"/>
    </row>
    <row r="35" spans="2:20" ht="19.5" customHeight="1">
      <c r="B35" s="1674"/>
      <c r="C35" s="1674"/>
      <c r="D35" s="1700"/>
      <c r="E35" s="300" t="s">
        <v>167</v>
      </c>
      <c r="F35" s="301"/>
      <c r="G35" s="1110" t="str">
        <f>IF(G34&gt;G33,"OVER","INSIDE")</f>
        <v>INSIDE</v>
      </c>
      <c r="H35" s="1111"/>
      <c r="I35" s="1112"/>
      <c r="J35" s="1689"/>
      <c r="K35" s="1198"/>
      <c r="L35" s="1823"/>
      <c r="M35" s="1872"/>
      <c r="N35" s="303"/>
      <c r="O35" s="285"/>
      <c r="P35" s="286"/>
      <c r="Q35" s="1266"/>
      <c r="R35" s="1267"/>
      <c r="S35" s="1267"/>
      <c r="T35" s="1711"/>
    </row>
    <row r="36" spans="2:20" ht="19.5" customHeight="1">
      <c r="B36" s="1674"/>
      <c r="C36" s="1674"/>
      <c r="D36" s="1700"/>
      <c r="E36" s="300" t="s">
        <v>153</v>
      </c>
      <c r="F36" s="301"/>
      <c r="G36" s="1452">
        <f>IF(G34=0,0,IF(G35="OVER",0,G34+2))</f>
        <v>0</v>
      </c>
      <c r="H36" s="1453"/>
      <c r="I36" s="298" t="s">
        <v>452</v>
      </c>
      <c r="J36" s="1689"/>
      <c r="K36" s="1198"/>
      <c r="L36" s="1823"/>
      <c r="M36" s="1872"/>
      <c r="N36" s="303"/>
      <c r="O36" s="285"/>
      <c r="P36" s="286"/>
      <c r="Q36" s="1266"/>
      <c r="R36" s="1267"/>
      <c r="S36" s="1267"/>
      <c r="T36" s="1711"/>
    </row>
    <row r="37" spans="2:20" ht="19.5" customHeight="1">
      <c r="B37" s="1674"/>
      <c r="C37" s="1674"/>
      <c r="D37" s="1700"/>
      <c r="E37" s="304" t="s">
        <v>451</v>
      </c>
      <c r="F37" s="305"/>
      <c r="G37" s="1452">
        <f>ROUNDUP(G36/L32,0)</f>
        <v>0</v>
      </c>
      <c r="H37" s="1453"/>
      <c r="I37" s="298" t="s">
        <v>453</v>
      </c>
      <c r="J37" s="1689"/>
      <c r="K37" s="1198"/>
      <c r="L37" s="1823"/>
      <c r="M37" s="1872"/>
      <c r="N37" s="303"/>
      <c r="O37" s="285"/>
      <c r="P37" s="286"/>
      <c r="Q37" s="1266"/>
      <c r="R37" s="1267"/>
      <c r="S37" s="1267"/>
      <c r="T37" s="1711"/>
    </row>
    <row r="38" spans="2:20" ht="19.5" customHeight="1">
      <c r="B38" s="1674"/>
      <c r="C38" s="1674"/>
      <c r="D38" s="1700"/>
      <c r="E38" s="304" t="s">
        <v>419</v>
      </c>
      <c r="F38" s="305"/>
      <c r="G38" s="1452">
        <f>G36-G37*L32</f>
        <v>0</v>
      </c>
      <c r="H38" s="1453"/>
      <c r="I38" s="298" t="s">
        <v>452</v>
      </c>
      <c r="J38" s="1689"/>
      <c r="K38" s="1198"/>
      <c r="L38" s="1823"/>
      <c r="M38" s="1872"/>
      <c r="N38" s="303"/>
      <c r="O38" s="285"/>
      <c r="P38" s="286"/>
      <c r="Q38" s="1266"/>
      <c r="R38" s="1267"/>
      <c r="S38" s="1267"/>
      <c r="T38" s="1711"/>
    </row>
    <row r="39" spans="2:20" ht="19.5" customHeight="1" thickBot="1">
      <c r="B39" s="1674"/>
      <c r="C39" s="1674"/>
      <c r="D39" s="1700"/>
      <c r="E39" s="306" t="s">
        <v>423</v>
      </c>
      <c r="F39" s="307"/>
      <c r="G39" s="1713">
        <f>G37*L32</f>
        <v>0</v>
      </c>
      <c r="H39" s="1714"/>
      <c r="I39" s="308" t="s">
        <v>452</v>
      </c>
      <c r="J39" s="1689"/>
      <c r="K39" s="1198"/>
      <c r="L39" s="1823"/>
      <c r="M39" s="1842"/>
      <c r="N39" s="309"/>
      <c r="O39" s="292"/>
      <c r="P39" s="293"/>
      <c r="Q39" s="1269"/>
      <c r="R39" s="1270"/>
      <c r="S39" s="1270"/>
      <c r="T39" s="1712"/>
    </row>
    <row r="40" spans="2:20" ht="19.5" customHeight="1">
      <c r="B40" s="1674"/>
      <c r="C40" s="1674"/>
      <c r="D40" s="1700"/>
      <c r="E40" s="310"/>
      <c r="F40" s="311" t="s">
        <v>455</v>
      </c>
      <c r="G40" s="1450">
        <f>LEN(LEFT('記入シート'!C47,L40))</f>
        <v>0</v>
      </c>
      <c r="H40" s="1451"/>
      <c r="I40" s="299" t="s">
        <v>452</v>
      </c>
      <c r="J40" s="1669" t="s">
        <v>73</v>
      </c>
      <c r="K40" s="1977">
        <f ca="1">CELL("row",'記入シート'!C47)</f>
        <v>47</v>
      </c>
      <c r="L40" s="1830">
        <v>6</v>
      </c>
      <c r="M40" s="1870">
        <f>$M$10</f>
        <v>135</v>
      </c>
      <c r="N40" s="1678" t="s">
        <v>474</v>
      </c>
      <c r="O40" s="1661">
        <f>SUM(G40:H47)</f>
        <v>0</v>
      </c>
      <c r="P40" s="1907" t="s">
        <v>452</v>
      </c>
      <c r="Q40" s="1554">
        <f>IF(O45=0,REPT("　",O54*L40),CONCATENATE(LEFT('記入シート'!C47,L40),REPT("　",G41),LEFT('記入シート'!C48,L40),REPT("　",G43),LEFT('記入シート'!C49,L40),REPT("　",G45),LEFT('記入シート'!C50,L40),REPT("　",G47),REPT("　",L40*O48)))</f>
      </c>
      <c r="R40" s="313"/>
      <c r="S40" s="313"/>
      <c r="T40" s="313"/>
    </row>
    <row r="41" spans="2:20" ht="19.5" customHeight="1">
      <c r="B41" s="1674"/>
      <c r="C41" s="1674"/>
      <c r="D41" s="1700"/>
      <c r="E41" s="314"/>
      <c r="F41" s="315" t="s">
        <v>458</v>
      </c>
      <c r="G41" s="1448">
        <f>IF(G40=0,0,$L$40-G40)</f>
        <v>0</v>
      </c>
      <c r="H41" s="1449"/>
      <c r="I41" s="222" t="s">
        <v>452</v>
      </c>
      <c r="J41" s="1670"/>
      <c r="K41" s="1202"/>
      <c r="L41" s="1831"/>
      <c r="M41" s="1872"/>
      <c r="N41" s="1679"/>
      <c r="O41" s="1676"/>
      <c r="P41" s="1708"/>
      <c r="Q41" s="1554"/>
      <c r="R41" s="313"/>
      <c r="S41" s="313"/>
      <c r="T41" s="313"/>
    </row>
    <row r="42" spans="2:20" ht="19.5" customHeight="1">
      <c r="B42" s="1674"/>
      <c r="C42" s="1674"/>
      <c r="D42" s="1700"/>
      <c r="E42" s="314"/>
      <c r="F42" s="315" t="s">
        <v>456</v>
      </c>
      <c r="G42" s="1448">
        <f>LEN(LEFT('記入シート'!C48,L40))</f>
        <v>0</v>
      </c>
      <c r="H42" s="1449"/>
      <c r="I42" s="222" t="s">
        <v>452</v>
      </c>
      <c r="J42" s="1670" t="s">
        <v>73</v>
      </c>
      <c r="K42" s="1202">
        <f ca="1">CELL("row",'記入シート'!C48)</f>
        <v>48</v>
      </c>
      <c r="L42" s="1831"/>
      <c r="M42" s="1872"/>
      <c r="N42" s="1679"/>
      <c r="O42" s="1676"/>
      <c r="P42" s="1708"/>
      <c r="Q42" s="1554"/>
      <c r="R42" s="313"/>
      <c r="S42" s="313"/>
      <c r="T42" s="313"/>
    </row>
    <row r="43" spans="2:20" ht="19.5" customHeight="1">
      <c r="B43" s="1674"/>
      <c r="C43" s="1674"/>
      <c r="D43" s="1700"/>
      <c r="E43" s="317" t="s">
        <v>401</v>
      </c>
      <c r="F43" s="315" t="s">
        <v>459</v>
      </c>
      <c r="G43" s="1448">
        <f>IF(G42=0,0,L40-G42)</f>
        <v>0</v>
      </c>
      <c r="H43" s="1449"/>
      <c r="I43" s="222" t="s">
        <v>452</v>
      </c>
      <c r="J43" s="1670"/>
      <c r="K43" s="1202"/>
      <c r="L43" s="1831"/>
      <c r="M43" s="1872"/>
      <c r="N43" s="1679"/>
      <c r="O43" s="1676"/>
      <c r="P43" s="1708"/>
      <c r="Q43" s="1549"/>
      <c r="R43" s="313"/>
      <c r="S43" s="313"/>
      <c r="T43" s="313"/>
    </row>
    <row r="44" spans="2:20" ht="19.5" customHeight="1">
      <c r="B44" s="1674"/>
      <c r="C44" s="1674"/>
      <c r="D44" s="1700"/>
      <c r="E44" s="317" t="s">
        <v>249</v>
      </c>
      <c r="F44" s="318" t="s">
        <v>475</v>
      </c>
      <c r="G44" s="1448">
        <f>LEN(LEFT('記入シート'!C49,L40))</f>
        <v>0</v>
      </c>
      <c r="H44" s="1449"/>
      <c r="I44" s="222" t="s">
        <v>452</v>
      </c>
      <c r="J44" s="1670" t="s">
        <v>73</v>
      </c>
      <c r="K44" s="1202">
        <f ca="1">CELL("row",'記入シート'!C49)</f>
        <v>49</v>
      </c>
      <c r="L44" s="1831"/>
      <c r="M44" s="1872"/>
      <c r="N44" s="1680"/>
      <c r="O44" s="1662"/>
      <c r="P44" s="1709"/>
      <c r="Q44" s="320"/>
      <c r="R44" s="313"/>
      <c r="S44" s="313"/>
      <c r="T44" s="313"/>
    </row>
    <row r="45" spans="2:20" ht="19.5" customHeight="1">
      <c r="B45" s="1674"/>
      <c r="C45" s="1674"/>
      <c r="D45" s="1700"/>
      <c r="E45" s="314"/>
      <c r="F45" s="318" t="s">
        <v>476</v>
      </c>
      <c r="G45" s="1448">
        <f>IF(G44=0,0,L40-G44)</f>
        <v>0</v>
      </c>
      <c r="H45" s="1449"/>
      <c r="I45" s="222" t="s">
        <v>452</v>
      </c>
      <c r="J45" s="1670"/>
      <c r="K45" s="1202"/>
      <c r="L45" s="1831"/>
      <c r="M45" s="1872"/>
      <c r="N45" s="1665" t="s">
        <v>146</v>
      </c>
      <c r="O45" s="1667">
        <f>O40/$L$40</f>
        <v>0</v>
      </c>
      <c r="P45" s="1194" t="s">
        <v>453</v>
      </c>
      <c r="Q45" s="320"/>
      <c r="R45" s="313"/>
      <c r="S45" s="313"/>
      <c r="T45" s="313"/>
    </row>
    <row r="46" spans="2:20" ht="19.5" customHeight="1">
      <c r="B46" s="1674"/>
      <c r="C46" s="1674"/>
      <c r="D46" s="1700"/>
      <c r="E46" s="314"/>
      <c r="F46" s="318" t="s">
        <v>477</v>
      </c>
      <c r="G46" s="1448">
        <f>LEN(LEFT('記入シート'!C50,L40))</f>
        <v>0</v>
      </c>
      <c r="H46" s="1449"/>
      <c r="I46" s="222" t="s">
        <v>452</v>
      </c>
      <c r="J46" s="1670" t="s">
        <v>73</v>
      </c>
      <c r="K46" s="1202">
        <f ca="1">CELL("row",'記入シート'!C50)</f>
        <v>50</v>
      </c>
      <c r="L46" s="1831"/>
      <c r="M46" s="1872"/>
      <c r="N46" s="1675"/>
      <c r="O46" s="1676"/>
      <c r="P46" s="1677"/>
      <c r="Q46" s="320"/>
      <c r="R46" s="313"/>
      <c r="S46" s="313"/>
      <c r="T46" s="313"/>
    </row>
    <row r="47" spans="2:20" ht="19.5" customHeight="1">
      <c r="B47" s="1674"/>
      <c r="C47" s="1674"/>
      <c r="D47" s="1700"/>
      <c r="E47" s="314"/>
      <c r="F47" s="315" t="s">
        <v>478</v>
      </c>
      <c r="G47" s="1448">
        <f>IF(G46=0,0,L40-G46)</f>
        <v>0</v>
      </c>
      <c r="H47" s="1449"/>
      <c r="I47" s="222" t="s">
        <v>452</v>
      </c>
      <c r="J47" s="1670"/>
      <c r="K47" s="1202"/>
      <c r="L47" s="1831"/>
      <c r="M47" s="1872"/>
      <c r="N47" s="1698"/>
      <c r="O47" s="1662"/>
      <c r="P47" s="1195"/>
      <c r="Q47" s="320"/>
      <c r="R47" s="313"/>
      <c r="S47" s="313"/>
      <c r="T47" s="313"/>
    </row>
    <row r="48" spans="2:20" ht="19.5" customHeight="1" thickBot="1">
      <c r="B48" s="1674"/>
      <c r="C48" s="1674"/>
      <c r="D48" s="1700"/>
      <c r="E48" s="321"/>
      <c r="F48" s="322"/>
      <c r="G48" s="322"/>
      <c r="H48" s="287"/>
      <c r="I48" s="323"/>
      <c r="J48" s="1005"/>
      <c r="K48" s="1019"/>
      <c r="L48" s="324"/>
      <c r="M48" s="325"/>
      <c r="N48" s="326" t="s">
        <v>482</v>
      </c>
      <c r="O48" s="327">
        <f>O54-O45</f>
        <v>0</v>
      </c>
      <c r="P48" s="328" t="s">
        <v>453</v>
      </c>
      <c r="Q48" s="320"/>
      <c r="R48" s="313"/>
      <c r="S48" s="313"/>
      <c r="T48" s="313"/>
    </row>
    <row r="49" spans="2:20" ht="19.5" customHeight="1">
      <c r="B49" s="1674"/>
      <c r="C49" s="1674"/>
      <c r="D49" s="1700"/>
      <c r="E49" s="310"/>
      <c r="F49" s="329" t="s">
        <v>455</v>
      </c>
      <c r="G49" s="1450">
        <f>LEN(LEFT('記入シート'!C53,L49))</f>
        <v>0</v>
      </c>
      <c r="H49" s="1451"/>
      <c r="I49" s="274" t="s">
        <v>452</v>
      </c>
      <c r="J49" s="1669" t="s">
        <v>73</v>
      </c>
      <c r="K49" s="1197">
        <f ca="1">CELL("row",'記入シート'!C53)</f>
        <v>53</v>
      </c>
      <c r="L49" s="1822">
        <v>6</v>
      </c>
      <c r="M49" s="1870">
        <f>$M$10</f>
        <v>135</v>
      </c>
      <c r="N49" s="1678" t="s">
        <v>484</v>
      </c>
      <c r="O49" s="1661">
        <f>SUM(G49:H52)</f>
        <v>0</v>
      </c>
      <c r="P49" s="1203" t="s">
        <v>452</v>
      </c>
      <c r="Q49" s="1548">
        <f>IF(O52=0,REPT("　",O54*L49),CONCATENATE(LEFT('記入シート'!C53,L49),REPT("　",G50),LEFT('記入シート'!C54,L49),REPT("　",G52),REPT("　",L49*O57)))</f>
      </c>
      <c r="R49" s="313"/>
      <c r="S49" s="313"/>
      <c r="T49" s="313"/>
    </row>
    <row r="50" spans="2:20" ht="19.5" customHeight="1">
      <c r="B50" s="1674"/>
      <c r="C50" s="1674"/>
      <c r="D50" s="1700"/>
      <c r="E50" s="317" t="s">
        <v>402</v>
      </c>
      <c r="F50" s="315" t="s">
        <v>458</v>
      </c>
      <c r="G50" s="1448">
        <f>IF(G49=0,0,L49-G49)</f>
        <v>0</v>
      </c>
      <c r="H50" s="1449"/>
      <c r="I50" s="222" t="s">
        <v>452</v>
      </c>
      <c r="J50" s="1670"/>
      <c r="K50" s="1198"/>
      <c r="L50" s="1823"/>
      <c r="M50" s="1872"/>
      <c r="N50" s="1679"/>
      <c r="O50" s="1676"/>
      <c r="P50" s="1677"/>
      <c r="Q50" s="1549"/>
      <c r="R50" s="313"/>
      <c r="S50" s="313"/>
      <c r="T50" s="313"/>
    </row>
    <row r="51" spans="2:20" ht="19.5" customHeight="1">
      <c r="B51" s="1674"/>
      <c r="C51" s="1674"/>
      <c r="D51" s="1700"/>
      <c r="E51" s="317" t="s">
        <v>250</v>
      </c>
      <c r="F51" s="315" t="s">
        <v>456</v>
      </c>
      <c r="G51" s="1448">
        <f>LEN(LEFT('記入シート'!C54,L49))</f>
        <v>0</v>
      </c>
      <c r="H51" s="1449"/>
      <c r="I51" s="222" t="s">
        <v>452</v>
      </c>
      <c r="J51" s="1671" t="s">
        <v>73</v>
      </c>
      <c r="K51" s="1976">
        <f ca="1">CELL("row",'記入シート'!C54)</f>
        <v>54</v>
      </c>
      <c r="L51" s="1823"/>
      <c r="M51" s="1872"/>
      <c r="N51" s="1680"/>
      <c r="O51" s="1662"/>
      <c r="P51" s="1195"/>
      <c r="Q51" s="320"/>
      <c r="R51" s="313"/>
      <c r="S51" s="313"/>
      <c r="T51" s="313"/>
    </row>
    <row r="52" spans="2:20" ht="19.5" customHeight="1">
      <c r="B52" s="1674"/>
      <c r="C52" s="1674"/>
      <c r="D52" s="1700"/>
      <c r="E52" s="314"/>
      <c r="F52" s="318" t="s">
        <v>459</v>
      </c>
      <c r="G52" s="1448">
        <f>IF(G51=0,0,L49-G51)</f>
        <v>0</v>
      </c>
      <c r="H52" s="1449"/>
      <c r="I52" s="271" t="s">
        <v>452</v>
      </c>
      <c r="J52" s="1672"/>
      <c r="K52" s="1978"/>
      <c r="L52" s="1824"/>
      <c r="M52" s="1872"/>
      <c r="N52" s="1665" t="s">
        <v>479</v>
      </c>
      <c r="O52" s="1667">
        <f>O49/$L$49</f>
        <v>0</v>
      </c>
      <c r="P52" s="1194" t="s">
        <v>453</v>
      </c>
      <c r="Q52" s="320"/>
      <c r="R52" s="313"/>
      <c r="S52" s="313"/>
      <c r="T52" s="313"/>
    </row>
    <row r="53" spans="2:20" ht="19.5" customHeight="1">
      <c r="B53" s="1674"/>
      <c r="C53" s="1674"/>
      <c r="D53" s="1700"/>
      <c r="E53" s="331"/>
      <c r="F53" s="316"/>
      <c r="G53" s="316"/>
      <c r="H53" s="282"/>
      <c r="I53" s="332"/>
      <c r="J53" s="1006"/>
      <c r="K53" s="332"/>
      <c r="L53" s="334"/>
      <c r="M53" s="335"/>
      <c r="N53" s="1675"/>
      <c r="O53" s="1676"/>
      <c r="P53" s="1677"/>
      <c r="Q53" s="320"/>
      <c r="R53" s="313"/>
      <c r="S53" s="313"/>
      <c r="T53" s="313"/>
    </row>
    <row r="54" spans="2:20" ht="19.5" customHeight="1">
      <c r="B54" s="1674"/>
      <c r="C54" s="1674"/>
      <c r="D54" s="1700"/>
      <c r="E54" s="331"/>
      <c r="F54" s="312"/>
      <c r="G54" s="312"/>
      <c r="H54" s="285"/>
      <c r="I54" s="336"/>
      <c r="J54" s="1008"/>
      <c r="K54" s="336"/>
      <c r="L54" s="338"/>
      <c r="M54" s="339"/>
      <c r="N54" s="1665" t="s">
        <v>483</v>
      </c>
      <c r="O54" s="1667">
        <f>MAX(G37,O45,O52)</f>
        <v>0</v>
      </c>
      <c r="P54" s="1194" t="s">
        <v>453</v>
      </c>
      <c r="Q54" s="320"/>
      <c r="R54" s="313"/>
      <c r="S54" s="313"/>
      <c r="T54" s="313"/>
    </row>
    <row r="55" spans="2:20" ht="19.5" customHeight="1">
      <c r="B55" s="1674"/>
      <c r="C55" s="1674"/>
      <c r="D55" s="1700"/>
      <c r="E55" s="331"/>
      <c r="F55" s="312"/>
      <c r="G55" s="312"/>
      <c r="H55" s="285"/>
      <c r="I55" s="336"/>
      <c r="J55" s="1008"/>
      <c r="K55" s="336"/>
      <c r="L55" s="338"/>
      <c r="M55" s="339"/>
      <c r="N55" s="1675"/>
      <c r="O55" s="1676"/>
      <c r="P55" s="1677"/>
      <c r="Q55" s="320"/>
      <c r="R55" s="313"/>
      <c r="S55" s="313"/>
      <c r="T55" s="313"/>
    </row>
    <row r="56" spans="2:20" ht="19.5" customHeight="1">
      <c r="B56" s="1674"/>
      <c r="C56" s="1674"/>
      <c r="D56" s="1700"/>
      <c r="E56" s="331"/>
      <c r="F56" s="312"/>
      <c r="G56" s="312"/>
      <c r="H56" s="285"/>
      <c r="I56" s="336"/>
      <c r="J56" s="1008"/>
      <c r="K56" s="336"/>
      <c r="L56" s="338"/>
      <c r="M56" s="339"/>
      <c r="N56" s="1698"/>
      <c r="O56" s="1662"/>
      <c r="P56" s="1195"/>
      <c r="Q56" s="320"/>
      <c r="R56" s="313"/>
      <c r="S56" s="313"/>
      <c r="T56" s="313"/>
    </row>
    <row r="57" spans="2:20" ht="19.5" customHeight="1" thickBot="1">
      <c r="B57" s="1674"/>
      <c r="C57" s="1674"/>
      <c r="D57" s="1700"/>
      <c r="E57" s="331"/>
      <c r="F57" s="312"/>
      <c r="G57" s="312"/>
      <c r="H57" s="285"/>
      <c r="I57" s="336"/>
      <c r="J57" s="1008"/>
      <c r="K57" s="336"/>
      <c r="L57" s="338"/>
      <c r="M57" s="339"/>
      <c r="N57" s="276" t="s">
        <v>145</v>
      </c>
      <c r="O57" s="794">
        <f>O54-O52</f>
        <v>0</v>
      </c>
      <c r="P57" s="222" t="s">
        <v>453</v>
      </c>
      <c r="Q57" s="320"/>
      <c r="R57" s="313"/>
      <c r="S57" s="313"/>
      <c r="T57" s="313"/>
    </row>
    <row r="58" spans="2:20" ht="19.5" customHeight="1">
      <c r="B58" s="1674"/>
      <c r="C58" s="1674"/>
      <c r="D58" s="1700"/>
      <c r="E58" s="310"/>
      <c r="F58" s="340" t="s">
        <v>1</v>
      </c>
      <c r="G58" s="1450">
        <f>LEN(LEFT('記入シート'!D57,2))</f>
        <v>0</v>
      </c>
      <c r="H58" s="1451"/>
      <c r="I58" s="274" t="s">
        <v>452</v>
      </c>
      <c r="J58" s="1669" t="s">
        <v>345</v>
      </c>
      <c r="K58" s="1203">
        <f ca="1">CELL("row",'記入シート'!D57)</f>
        <v>57</v>
      </c>
      <c r="L58" s="1830">
        <v>2</v>
      </c>
      <c r="M58" s="1836">
        <f>$M$10</f>
        <v>135</v>
      </c>
      <c r="N58" s="1663" t="s">
        <v>8</v>
      </c>
      <c r="O58" s="1661">
        <f>IF(G58=0,0,1)</f>
        <v>0</v>
      </c>
      <c r="P58" s="1203" t="s">
        <v>453</v>
      </c>
      <c r="Q58" s="503" t="s">
        <v>6</v>
      </c>
      <c r="R58" s="313"/>
      <c r="S58" s="313"/>
      <c r="T58" s="313"/>
    </row>
    <row r="59" spans="2:20" ht="19.5" customHeight="1">
      <c r="B59" s="1674"/>
      <c r="C59" s="1674"/>
      <c r="D59" s="1700"/>
      <c r="E59" s="314"/>
      <c r="F59" s="315" t="s">
        <v>2</v>
      </c>
      <c r="G59" s="1448">
        <f>L58-G58</f>
        <v>2</v>
      </c>
      <c r="H59" s="1449"/>
      <c r="I59" s="222" t="s">
        <v>452</v>
      </c>
      <c r="J59" s="1670"/>
      <c r="K59" s="1195"/>
      <c r="L59" s="1831"/>
      <c r="M59" s="1835"/>
      <c r="N59" s="1664"/>
      <c r="O59" s="1662"/>
      <c r="P59" s="1195"/>
      <c r="Q59" s="986">
        <f>IF(O58=0,REPT("　",O54*5),IF(O58=0,REPT("　",5*O60),CONCATENATE(REPT("　",G59),LEFT('記入シート'!D57,L58),"／",REPT("　",G61),LEFT('記入シート'!G57,L60),REPT("　",5*O60))))</f>
      </c>
      <c r="R59" s="313"/>
      <c r="S59" s="313"/>
      <c r="T59" s="313"/>
    </row>
    <row r="60" spans="2:20" ht="19.5" customHeight="1">
      <c r="B60" s="1674"/>
      <c r="C60" s="1674"/>
      <c r="D60" s="1700"/>
      <c r="E60" s="314"/>
      <c r="F60" s="315" t="s">
        <v>3</v>
      </c>
      <c r="G60" s="1448">
        <f>LEN(LEFT('記入シート'!G57,2))</f>
        <v>0</v>
      </c>
      <c r="H60" s="1449"/>
      <c r="I60" s="222" t="s">
        <v>452</v>
      </c>
      <c r="J60" s="1670" t="s">
        <v>346</v>
      </c>
      <c r="K60" s="1194">
        <f ca="1">CELL("row",'記入シート'!G57)</f>
        <v>57</v>
      </c>
      <c r="L60" s="1831">
        <v>2</v>
      </c>
      <c r="M60" s="1834">
        <f>$M$10</f>
        <v>135</v>
      </c>
      <c r="N60" s="1665" t="s">
        <v>147</v>
      </c>
      <c r="O60" s="1667">
        <f>IF(O54=0,0,O54-O58)</f>
        <v>0</v>
      </c>
      <c r="P60" s="1194" t="s">
        <v>453</v>
      </c>
      <c r="Q60" s="987"/>
      <c r="R60" s="313"/>
      <c r="S60" s="313"/>
      <c r="T60" s="313"/>
    </row>
    <row r="61" spans="2:20" ht="19.5" customHeight="1">
      <c r="B61" s="1674"/>
      <c r="C61" s="1674"/>
      <c r="D61" s="1700"/>
      <c r="E61" s="317" t="s">
        <v>403</v>
      </c>
      <c r="F61" s="315" t="s">
        <v>461</v>
      </c>
      <c r="G61" s="1448">
        <f>L60-G60</f>
        <v>2</v>
      </c>
      <c r="H61" s="1449"/>
      <c r="I61" s="222" t="s">
        <v>452</v>
      </c>
      <c r="J61" s="1670"/>
      <c r="K61" s="1195"/>
      <c r="L61" s="1831"/>
      <c r="M61" s="1834"/>
      <c r="N61" s="1698"/>
      <c r="O61" s="1662"/>
      <c r="P61" s="1195"/>
      <c r="Q61" s="988"/>
      <c r="R61" s="313"/>
      <c r="S61" s="313"/>
      <c r="T61" s="313"/>
    </row>
    <row r="62" spans="2:20" ht="19.5" customHeight="1">
      <c r="B62" s="1674"/>
      <c r="C62" s="1674"/>
      <c r="D62" s="1700"/>
      <c r="E62" s="317" t="s">
        <v>250</v>
      </c>
      <c r="F62" s="315" t="s">
        <v>4</v>
      </c>
      <c r="G62" s="1448">
        <f>LEN(LEFT('記入シート'!N57,2))</f>
        <v>0</v>
      </c>
      <c r="H62" s="1449"/>
      <c r="I62" s="222" t="s">
        <v>452</v>
      </c>
      <c r="J62" s="1670" t="s">
        <v>347</v>
      </c>
      <c r="K62" s="1194">
        <f ca="1">CELL("row",'記入シート'!N57)</f>
        <v>57</v>
      </c>
      <c r="L62" s="1831">
        <v>2</v>
      </c>
      <c r="M62" s="1834">
        <f>$M$10</f>
        <v>135</v>
      </c>
      <c r="N62" s="1833" t="s">
        <v>178</v>
      </c>
      <c r="O62" s="1667">
        <f>IF(G62=0,0,1)</f>
        <v>0</v>
      </c>
      <c r="P62" s="1194" t="s">
        <v>453</v>
      </c>
      <c r="Q62" s="503" t="s">
        <v>7</v>
      </c>
      <c r="R62" s="313"/>
      <c r="S62" s="313"/>
      <c r="T62" s="313"/>
    </row>
    <row r="63" spans="2:20" ht="19.5" customHeight="1">
      <c r="B63" s="1674"/>
      <c r="C63" s="1674"/>
      <c r="D63" s="1700"/>
      <c r="E63" s="314"/>
      <c r="F63" s="315" t="s">
        <v>5</v>
      </c>
      <c r="G63" s="1448">
        <f>L62-G62</f>
        <v>2</v>
      </c>
      <c r="H63" s="1449"/>
      <c r="I63" s="222" t="s">
        <v>452</v>
      </c>
      <c r="J63" s="1670"/>
      <c r="K63" s="1195"/>
      <c r="L63" s="1831"/>
      <c r="M63" s="1834"/>
      <c r="N63" s="1664"/>
      <c r="O63" s="1662"/>
      <c r="P63" s="1195"/>
      <c r="Q63" s="986">
        <f>IF(O62=0,REPT("　",O54*5),IF(O62=0,REPT("　",5*O64),CONCATENATE(REPT("　",G63),LEFT('記入シート'!N57,L62),"／",REPT("　",G65),LEFT('記入シート'!Q57,L64),REPT("　",5*O64))))</f>
      </c>
      <c r="R63" s="313"/>
      <c r="S63" s="313"/>
      <c r="T63" s="313"/>
    </row>
    <row r="64" spans="2:20" ht="19.5" customHeight="1">
      <c r="B64" s="1674"/>
      <c r="C64" s="1674"/>
      <c r="D64" s="1700"/>
      <c r="E64" s="314"/>
      <c r="F64" s="315" t="s">
        <v>462</v>
      </c>
      <c r="G64" s="1448">
        <f>LEN(LEFT('記入シート'!Q57,2))</f>
        <v>0</v>
      </c>
      <c r="H64" s="1449"/>
      <c r="I64" s="222" t="s">
        <v>452</v>
      </c>
      <c r="J64" s="1670" t="s">
        <v>348</v>
      </c>
      <c r="K64" s="1194">
        <f ca="1">CELL("row",'記入シート'!Q57)</f>
        <v>57</v>
      </c>
      <c r="L64" s="1831">
        <v>2</v>
      </c>
      <c r="M64" s="1834">
        <f>$M$10</f>
        <v>135</v>
      </c>
      <c r="N64" s="1665" t="s">
        <v>180</v>
      </c>
      <c r="O64" s="1667">
        <f>IF(O54=0,0,O54-O62)</f>
        <v>0</v>
      </c>
      <c r="P64" s="1194" t="s">
        <v>453</v>
      </c>
      <c r="Q64" s="987"/>
      <c r="R64" s="313"/>
      <c r="S64" s="313"/>
      <c r="T64" s="313"/>
    </row>
    <row r="65" spans="2:20" ht="19.5" customHeight="1" thickBot="1">
      <c r="B65" s="1674"/>
      <c r="C65" s="1674"/>
      <c r="D65" s="1700"/>
      <c r="E65" s="659"/>
      <c r="F65" s="315" t="s">
        <v>463</v>
      </c>
      <c r="G65" s="1496">
        <f>L64-G64</f>
        <v>2</v>
      </c>
      <c r="H65" s="1497"/>
      <c r="I65" s="222" t="s">
        <v>452</v>
      </c>
      <c r="J65" s="1687"/>
      <c r="K65" s="1196"/>
      <c r="L65" s="1832"/>
      <c r="M65" s="1835"/>
      <c r="N65" s="1666"/>
      <c r="O65" s="1668"/>
      <c r="P65" s="1196"/>
      <c r="Q65" s="989"/>
      <c r="R65" s="313"/>
      <c r="S65" s="313"/>
      <c r="T65" s="313"/>
    </row>
    <row r="66" spans="2:20" ht="19.5" customHeight="1">
      <c r="B66" s="1674"/>
      <c r="C66" s="1674"/>
      <c r="D66" s="1700"/>
      <c r="E66" s="660" t="s">
        <v>253</v>
      </c>
      <c r="F66" s="329" t="s">
        <v>420</v>
      </c>
      <c r="G66" s="1450">
        <f>IF('記入シート'!C60=0,0,1)</f>
        <v>0</v>
      </c>
      <c r="H66" s="1451"/>
      <c r="I66" s="274" t="s">
        <v>452</v>
      </c>
      <c r="J66" s="1688" t="s">
        <v>349</v>
      </c>
      <c r="K66" s="1197">
        <f ca="1">CELL("row",'記入シート'!C60)</f>
        <v>60</v>
      </c>
      <c r="L66" s="1822">
        <v>1</v>
      </c>
      <c r="M66" s="1705">
        <f>$M$10</f>
        <v>135</v>
      </c>
      <c r="N66" s="1663" t="s">
        <v>10</v>
      </c>
      <c r="O66" s="1661">
        <f>IF(G66=0,0,1)</f>
        <v>0</v>
      </c>
      <c r="P66" s="1203" t="s">
        <v>453</v>
      </c>
      <c r="Q66" s="341">
        <f>IF(G34=0,"",CONCATENATE(LEFT('記入シート'!C60,1),REPT("　",O68)))</f>
      </c>
      <c r="R66" s="313"/>
      <c r="S66" s="313"/>
      <c r="T66" s="313"/>
    </row>
    <row r="67" spans="2:20" ht="19.5" customHeight="1">
      <c r="B67" s="1674"/>
      <c r="C67" s="1674"/>
      <c r="D67" s="1700"/>
      <c r="E67" s="317" t="s">
        <v>210</v>
      </c>
      <c r="F67" s="315" t="s">
        <v>460</v>
      </c>
      <c r="G67" s="1448">
        <f>L66-G66</f>
        <v>1</v>
      </c>
      <c r="H67" s="1449"/>
      <c r="I67" s="222" t="s">
        <v>452</v>
      </c>
      <c r="J67" s="1689"/>
      <c r="K67" s="1198"/>
      <c r="L67" s="1823"/>
      <c r="M67" s="1706"/>
      <c r="N67" s="1664"/>
      <c r="O67" s="1662"/>
      <c r="P67" s="1195"/>
      <c r="Q67" s="320"/>
      <c r="R67" s="313"/>
      <c r="S67" s="313"/>
      <c r="T67" s="313"/>
    </row>
    <row r="68" spans="2:20" ht="19.5" customHeight="1" thickBot="1">
      <c r="B68" s="1674"/>
      <c r="C68" s="1674"/>
      <c r="D68" s="1700"/>
      <c r="E68" s="331"/>
      <c r="F68" s="330" t="s">
        <v>158</v>
      </c>
      <c r="G68" s="272" t="s">
        <v>159</v>
      </c>
      <c r="H68" s="273">
        <f>WIDECHAR('記入シート'!C60)</f>
      </c>
      <c r="I68" s="342" t="s">
        <v>160</v>
      </c>
      <c r="J68" s="1672"/>
      <c r="K68" s="1199"/>
      <c r="L68" s="1824"/>
      <c r="M68" s="1707"/>
      <c r="N68" s="276" t="s">
        <v>148</v>
      </c>
      <c r="O68" s="794">
        <f>IF(O54=0,0,O54-O66)</f>
        <v>0</v>
      </c>
      <c r="P68" s="222" t="s">
        <v>453</v>
      </c>
      <c r="Q68" s="320"/>
      <c r="R68" s="313"/>
      <c r="S68" s="313"/>
      <c r="T68" s="313"/>
    </row>
    <row r="69" spans="2:20" ht="19.5" customHeight="1" thickTop="1">
      <c r="B69" s="1806" t="s">
        <v>103</v>
      </c>
      <c r="C69" s="1673" t="s">
        <v>400</v>
      </c>
      <c r="D69" s="1699" t="s">
        <v>487</v>
      </c>
      <c r="E69" s="344" t="s">
        <v>437</v>
      </c>
      <c r="F69" s="345"/>
      <c r="G69" s="1717">
        <f>G32-G39-O32*L32</f>
        <v>2565</v>
      </c>
      <c r="H69" s="1718"/>
      <c r="I69" s="345" t="s">
        <v>452</v>
      </c>
      <c r="J69" s="1715" t="s">
        <v>349</v>
      </c>
      <c r="K69" s="1200">
        <f ca="1">CELL("row",'記入シート'!C65)</f>
        <v>65</v>
      </c>
      <c r="L69" s="1820">
        <f>$L$32</f>
        <v>19</v>
      </c>
      <c r="M69" s="1701">
        <f>G69/L69</f>
        <v>135</v>
      </c>
      <c r="N69" s="1817" t="s">
        <v>144</v>
      </c>
      <c r="O69" s="1818">
        <f>O92-G74</f>
        <v>0</v>
      </c>
      <c r="P69" s="1873" t="s">
        <v>453</v>
      </c>
      <c r="Q69" s="1263">
        <f>IF(G73=0,REPT("　",O92*L69),CONCATENATE("②　",'記入シート'!C65,REPT("　",O69*L69+ABS(G75))))</f>
      </c>
      <c r="R69" s="1264"/>
      <c r="S69" s="1264"/>
      <c r="T69" s="1710"/>
    </row>
    <row r="70" spans="2:20" ht="19.5" customHeight="1">
      <c r="B70" s="1806"/>
      <c r="C70" s="1674"/>
      <c r="D70" s="1700"/>
      <c r="E70" s="297" t="s">
        <v>135</v>
      </c>
      <c r="F70" s="298"/>
      <c r="G70" s="1206">
        <f>IF(G69&gt;2,G69-2,0)</f>
        <v>2563</v>
      </c>
      <c r="H70" s="1207"/>
      <c r="I70" s="796" t="s">
        <v>452</v>
      </c>
      <c r="J70" s="1689"/>
      <c r="K70" s="1198"/>
      <c r="L70" s="1692"/>
      <c r="M70" s="1702"/>
      <c r="N70" s="1675"/>
      <c r="O70" s="1676"/>
      <c r="P70" s="1677"/>
      <c r="Q70" s="1266"/>
      <c r="R70" s="1267"/>
      <c r="S70" s="1267"/>
      <c r="T70" s="1711"/>
    </row>
    <row r="71" spans="2:20" ht="19.5" customHeight="1">
      <c r="B71" s="1807"/>
      <c r="C71" s="1674"/>
      <c r="D71" s="1700"/>
      <c r="E71" s="300" t="s">
        <v>150</v>
      </c>
      <c r="F71" s="301"/>
      <c r="G71" s="1452">
        <f>LEN('記入シート'!C65)</f>
        <v>0</v>
      </c>
      <c r="H71" s="1453"/>
      <c r="I71" s="298" t="s">
        <v>452</v>
      </c>
      <c r="J71" s="1689"/>
      <c r="K71" s="1198"/>
      <c r="L71" s="1692"/>
      <c r="M71" s="1703"/>
      <c r="N71" s="1698"/>
      <c r="O71" s="1662"/>
      <c r="P71" s="1195"/>
      <c r="Q71" s="1266"/>
      <c r="R71" s="1267"/>
      <c r="S71" s="1267"/>
      <c r="T71" s="1711"/>
    </row>
    <row r="72" spans="2:20" ht="19.5" customHeight="1">
      <c r="B72" s="1807"/>
      <c r="C72" s="1674"/>
      <c r="D72" s="1700"/>
      <c r="E72" s="300" t="s">
        <v>167</v>
      </c>
      <c r="F72" s="301"/>
      <c r="G72" s="1110" t="str">
        <f>IF(G71&gt;G70,"OVER","INSIDE")</f>
        <v>INSIDE</v>
      </c>
      <c r="H72" s="1111"/>
      <c r="I72" s="1112"/>
      <c r="J72" s="1689"/>
      <c r="K72" s="1198"/>
      <c r="L72" s="1692"/>
      <c r="M72" s="1703"/>
      <c r="N72" s="303"/>
      <c r="O72" s="285"/>
      <c r="P72" s="286"/>
      <c r="Q72" s="1266"/>
      <c r="R72" s="1267"/>
      <c r="S72" s="1267"/>
      <c r="T72" s="1711"/>
    </row>
    <row r="73" spans="2:20" ht="19.5" customHeight="1">
      <c r="B73" s="1807"/>
      <c r="C73" s="1674"/>
      <c r="D73" s="1700"/>
      <c r="E73" s="300" t="s">
        <v>154</v>
      </c>
      <c r="F73" s="301"/>
      <c r="G73" s="1452">
        <f>IF(G71=0,0,IF(G72="OVER",0,G71+2))</f>
        <v>0</v>
      </c>
      <c r="H73" s="1453"/>
      <c r="I73" s="298" t="s">
        <v>452</v>
      </c>
      <c r="J73" s="1689"/>
      <c r="K73" s="1198"/>
      <c r="L73" s="1692"/>
      <c r="M73" s="1703"/>
      <c r="N73" s="303"/>
      <c r="O73" s="285"/>
      <c r="P73" s="286"/>
      <c r="Q73" s="1266"/>
      <c r="R73" s="1267"/>
      <c r="S73" s="1267"/>
      <c r="T73" s="1711"/>
    </row>
    <row r="74" spans="2:20" ht="19.5" customHeight="1">
      <c r="B74" s="1807"/>
      <c r="C74" s="1674"/>
      <c r="D74" s="1700"/>
      <c r="E74" s="304" t="s">
        <v>451</v>
      </c>
      <c r="F74" s="305"/>
      <c r="G74" s="1452">
        <f>ROUNDUP(G73/L69,0)</f>
        <v>0</v>
      </c>
      <c r="H74" s="1453"/>
      <c r="I74" s="298" t="s">
        <v>453</v>
      </c>
      <c r="J74" s="1689"/>
      <c r="K74" s="1198"/>
      <c r="L74" s="1692"/>
      <c r="M74" s="1703"/>
      <c r="N74" s="303"/>
      <c r="O74" s="285"/>
      <c r="P74" s="286"/>
      <c r="Q74" s="1266"/>
      <c r="R74" s="1267"/>
      <c r="S74" s="1267"/>
      <c r="T74" s="1711"/>
    </row>
    <row r="75" spans="2:20" ht="19.5" customHeight="1">
      <c r="B75" s="1807"/>
      <c r="C75" s="1674"/>
      <c r="D75" s="1700"/>
      <c r="E75" s="304" t="s">
        <v>419</v>
      </c>
      <c r="F75" s="305"/>
      <c r="G75" s="1452">
        <f>G73-G74*L69</f>
        <v>0</v>
      </c>
      <c r="H75" s="1453"/>
      <c r="I75" s="298" t="s">
        <v>452</v>
      </c>
      <c r="J75" s="1689"/>
      <c r="K75" s="1198"/>
      <c r="L75" s="1692"/>
      <c r="M75" s="1703"/>
      <c r="N75" s="303"/>
      <c r="O75" s="285"/>
      <c r="P75" s="286"/>
      <c r="Q75" s="1266"/>
      <c r="R75" s="1267"/>
      <c r="S75" s="1267"/>
      <c r="T75" s="1711"/>
    </row>
    <row r="76" spans="2:20" ht="19.5" customHeight="1" thickBot="1">
      <c r="B76" s="1807"/>
      <c r="C76" s="1674"/>
      <c r="D76" s="1700"/>
      <c r="E76" s="306" t="s">
        <v>423</v>
      </c>
      <c r="F76" s="307"/>
      <c r="G76" s="1713">
        <f>G74*L69</f>
        <v>0</v>
      </c>
      <c r="H76" s="1714"/>
      <c r="I76" s="308" t="s">
        <v>452</v>
      </c>
      <c r="J76" s="1716"/>
      <c r="K76" s="1201"/>
      <c r="L76" s="1821"/>
      <c r="M76" s="1704"/>
      <c r="N76" s="309"/>
      <c r="O76" s="292"/>
      <c r="P76" s="293"/>
      <c r="Q76" s="1269"/>
      <c r="R76" s="1270"/>
      <c r="S76" s="1270"/>
      <c r="T76" s="1712"/>
    </row>
    <row r="77" spans="2:20" ht="19.5" customHeight="1">
      <c r="B77" s="1807"/>
      <c r="C77" s="1674"/>
      <c r="D77" s="1700"/>
      <c r="E77" s="310"/>
      <c r="F77" s="311" t="s">
        <v>455</v>
      </c>
      <c r="G77" s="1450">
        <f>LEN(LEFT('記入シート'!C69,L77))</f>
        <v>0</v>
      </c>
      <c r="H77" s="1451"/>
      <c r="I77" s="299" t="s">
        <v>452</v>
      </c>
      <c r="J77" s="1672" t="s">
        <v>350</v>
      </c>
      <c r="K77" s="1197">
        <f ca="1">CELL("row",'記入シート'!C69)</f>
        <v>69</v>
      </c>
      <c r="L77" s="1692">
        <f>$L$40</f>
        <v>6</v>
      </c>
      <c r="M77" s="1837">
        <f>M69</f>
        <v>135</v>
      </c>
      <c r="N77" s="1678" t="s">
        <v>474</v>
      </c>
      <c r="O77" s="1676">
        <f>SUM(G77:H84)</f>
        <v>0</v>
      </c>
      <c r="P77" s="1708" t="s">
        <v>452</v>
      </c>
      <c r="Q77" s="1554">
        <f>IF(O82=0,REPT("　",O92*L77),CONCATENATE(LEFT('記入シート'!C69,L77),REPT("　",G78),LEFT('記入シート'!C70,L77),REPT("　",G80),LEFT('記入シート'!C71,L77),REPT("　",G82),LEFT('記入シート'!C72,L77),REPT("　",G84),REPT("　",L77*O84)))</f>
      </c>
      <c r="R77" s="313"/>
      <c r="S77" s="313"/>
      <c r="T77" s="313"/>
    </row>
    <row r="78" spans="2:20" ht="19.5" customHeight="1">
      <c r="B78" s="1807"/>
      <c r="C78" s="1674"/>
      <c r="D78" s="1700"/>
      <c r="E78" s="314"/>
      <c r="F78" s="315" t="s">
        <v>458</v>
      </c>
      <c r="G78" s="1448">
        <f>IF(G77=0,0,L77-G77)</f>
        <v>0</v>
      </c>
      <c r="H78" s="1449"/>
      <c r="I78" s="222" t="s">
        <v>452</v>
      </c>
      <c r="J78" s="1670"/>
      <c r="K78" s="1198"/>
      <c r="L78" s="1692"/>
      <c r="M78" s="1837"/>
      <c r="N78" s="1679"/>
      <c r="O78" s="1676"/>
      <c r="P78" s="1708"/>
      <c r="Q78" s="1554"/>
      <c r="R78" s="313"/>
      <c r="S78" s="313"/>
      <c r="T78" s="313"/>
    </row>
    <row r="79" spans="2:20" ht="19.5" customHeight="1">
      <c r="B79" s="1807"/>
      <c r="C79" s="1674"/>
      <c r="D79" s="1700"/>
      <c r="E79" s="314"/>
      <c r="F79" s="315" t="s">
        <v>456</v>
      </c>
      <c r="G79" s="1448">
        <f>LEN(LEFT('記入シート'!C70,L77))</f>
        <v>0</v>
      </c>
      <c r="H79" s="1449"/>
      <c r="I79" s="222" t="s">
        <v>452</v>
      </c>
      <c r="J79" s="1670" t="s">
        <v>350</v>
      </c>
      <c r="K79" s="1202">
        <f ca="1">CELL("row",'記入シート'!C70)</f>
        <v>70</v>
      </c>
      <c r="L79" s="1692"/>
      <c r="M79" s="1837"/>
      <c r="N79" s="1679"/>
      <c r="O79" s="1676"/>
      <c r="P79" s="1708"/>
      <c r="Q79" s="1554"/>
      <c r="R79" s="313"/>
      <c r="S79" s="313"/>
      <c r="T79" s="313"/>
    </row>
    <row r="80" spans="2:20" ht="19.5" customHeight="1">
      <c r="B80" s="1807"/>
      <c r="C80" s="1674"/>
      <c r="D80" s="1700"/>
      <c r="E80" s="317" t="s">
        <v>401</v>
      </c>
      <c r="F80" s="315" t="s">
        <v>459</v>
      </c>
      <c r="G80" s="1448">
        <f>IF(G79=0,0,L77-G79)</f>
        <v>0</v>
      </c>
      <c r="H80" s="1449"/>
      <c r="I80" s="222" t="s">
        <v>452</v>
      </c>
      <c r="J80" s="1670"/>
      <c r="K80" s="1202"/>
      <c r="L80" s="1692"/>
      <c r="M80" s="1837"/>
      <c r="N80" s="1679"/>
      <c r="O80" s="1676"/>
      <c r="P80" s="1708"/>
      <c r="Q80" s="1549"/>
      <c r="R80" s="313"/>
      <c r="S80" s="313"/>
      <c r="T80" s="313"/>
    </row>
    <row r="81" spans="2:20" ht="19.5" customHeight="1">
      <c r="B81" s="1807"/>
      <c r="C81" s="1674"/>
      <c r="D81" s="1700"/>
      <c r="E81" s="317" t="s">
        <v>251</v>
      </c>
      <c r="F81" s="318" t="s">
        <v>475</v>
      </c>
      <c r="G81" s="1448">
        <f>LEN(LEFT('記入シート'!C71,L77))</f>
        <v>0</v>
      </c>
      <c r="H81" s="1449"/>
      <c r="I81" s="222" t="s">
        <v>452</v>
      </c>
      <c r="J81" s="1671" t="s">
        <v>350</v>
      </c>
      <c r="K81" s="1202">
        <f ca="1">CELL("row",'記入シート'!C71)</f>
        <v>71</v>
      </c>
      <c r="L81" s="1692"/>
      <c r="M81" s="1837"/>
      <c r="N81" s="1680"/>
      <c r="O81" s="1662"/>
      <c r="P81" s="1709"/>
      <c r="Q81" s="320"/>
      <c r="R81" s="313"/>
      <c r="S81" s="313"/>
      <c r="T81" s="313"/>
    </row>
    <row r="82" spans="2:20" ht="19.5" customHeight="1">
      <c r="B82" s="1807"/>
      <c r="C82" s="1674"/>
      <c r="D82" s="1700"/>
      <c r="E82" s="314"/>
      <c r="F82" s="318" t="s">
        <v>476</v>
      </c>
      <c r="G82" s="1448">
        <f>IF(G81=0,0,L77-G81)</f>
        <v>0</v>
      </c>
      <c r="H82" s="1449"/>
      <c r="I82" s="222" t="s">
        <v>452</v>
      </c>
      <c r="J82" s="1672"/>
      <c r="K82" s="1202"/>
      <c r="L82" s="1692"/>
      <c r="M82" s="1837"/>
      <c r="N82" s="1665" t="s">
        <v>480</v>
      </c>
      <c r="O82" s="1667">
        <f>O77/$L$40</f>
        <v>0</v>
      </c>
      <c r="P82" s="1194" t="s">
        <v>453</v>
      </c>
      <c r="Q82" s="320"/>
      <c r="R82" s="313"/>
      <c r="S82" s="313"/>
      <c r="T82" s="313"/>
    </row>
    <row r="83" spans="2:20" ht="19.5" customHeight="1">
      <c r="B83" s="1807"/>
      <c r="C83" s="1674"/>
      <c r="D83" s="1700"/>
      <c r="E83" s="314"/>
      <c r="F83" s="318" t="s">
        <v>477</v>
      </c>
      <c r="G83" s="1448">
        <f>LEN(LEFT('記入シート'!C72,L77))</f>
        <v>0</v>
      </c>
      <c r="H83" s="1449"/>
      <c r="I83" s="222" t="s">
        <v>452</v>
      </c>
      <c r="J83" s="1671" t="s">
        <v>350</v>
      </c>
      <c r="K83" s="1202">
        <f ca="1">CELL("row",'記入シート'!C72)</f>
        <v>72</v>
      </c>
      <c r="L83" s="1692"/>
      <c r="M83" s="1837"/>
      <c r="N83" s="1698"/>
      <c r="O83" s="1662"/>
      <c r="P83" s="1195"/>
      <c r="Q83" s="320"/>
      <c r="R83" s="313"/>
      <c r="S83" s="313"/>
      <c r="T83" s="313"/>
    </row>
    <row r="84" spans="2:20" ht="19.5" customHeight="1">
      <c r="B84" s="1807"/>
      <c r="C84" s="1674"/>
      <c r="D84" s="1700"/>
      <c r="E84" s="314"/>
      <c r="F84" s="315" t="s">
        <v>478</v>
      </c>
      <c r="G84" s="1448">
        <f>IF(G83=0,0,L77-G83)</f>
        <v>0</v>
      </c>
      <c r="H84" s="1449"/>
      <c r="I84" s="222" t="s">
        <v>452</v>
      </c>
      <c r="J84" s="1689"/>
      <c r="K84" s="1202"/>
      <c r="L84" s="1692"/>
      <c r="M84" s="1837"/>
      <c r="N84" s="346" t="s">
        <v>482</v>
      </c>
      <c r="O84" s="347">
        <f>O92-O82</f>
        <v>0</v>
      </c>
      <c r="P84" s="222" t="s">
        <v>453</v>
      </c>
      <c r="Q84" s="320"/>
      <c r="R84" s="313"/>
      <c r="S84" s="313"/>
      <c r="T84" s="313"/>
    </row>
    <row r="85" spans="2:20" ht="19.5" customHeight="1">
      <c r="B85" s="1807"/>
      <c r="C85" s="1674"/>
      <c r="D85" s="1700"/>
      <c r="E85" s="331"/>
      <c r="F85" s="316"/>
      <c r="G85" s="316"/>
      <c r="H85" s="282"/>
      <c r="I85" s="332"/>
      <c r="J85" s="1006"/>
      <c r="K85" s="1020"/>
      <c r="L85" s="334"/>
      <c r="M85" s="335"/>
      <c r="N85" s="1904" t="s">
        <v>124</v>
      </c>
      <c r="O85" s="1694" t="str">
        <f>IF(O82&gt;G69/L69,"OVER","INSIDE")</f>
        <v>INSIDE</v>
      </c>
      <c r="P85" s="1695"/>
      <c r="Q85" s="320"/>
      <c r="R85" s="313"/>
      <c r="S85" s="313"/>
      <c r="T85" s="313"/>
    </row>
    <row r="86" spans="2:20" ht="19.5" customHeight="1" thickBot="1">
      <c r="B86" s="1807"/>
      <c r="C86" s="1674"/>
      <c r="D86" s="1700"/>
      <c r="E86" s="321"/>
      <c r="F86" s="348"/>
      <c r="G86" s="348"/>
      <c r="H86" s="292"/>
      <c r="I86" s="349"/>
      <c r="J86" s="1007"/>
      <c r="K86" s="1021"/>
      <c r="L86" s="350"/>
      <c r="M86" s="351"/>
      <c r="N86" s="1905"/>
      <c r="O86" s="1696"/>
      <c r="P86" s="1697"/>
      <c r="Q86" s="320"/>
      <c r="R86" s="313"/>
      <c r="S86" s="313"/>
      <c r="T86" s="313"/>
    </row>
    <row r="87" spans="2:20" ht="19.5" customHeight="1">
      <c r="B87" s="1807"/>
      <c r="C87" s="1674"/>
      <c r="D87" s="1700"/>
      <c r="E87" s="310"/>
      <c r="F87" s="329" t="s">
        <v>455</v>
      </c>
      <c r="G87" s="1450">
        <f>LEN(LEFT('記入シート'!C75,L87))</f>
        <v>0</v>
      </c>
      <c r="H87" s="1451"/>
      <c r="I87" s="274" t="s">
        <v>452</v>
      </c>
      <c r="J87" s="1669" t="s">
        <v>350</v>
      </c>
      <c r="K87" s="1197">
        <f ca="1">CELL("row",'記入シート'!C75)</f>
        <v>75</v>
      </c>
      <c r="L87" s="1691">
        <f>$L$49</f>
        <v>6</v>
      </c>
      <c r="M87" s="1828">
        <f>M69</f>
        <v>135</v>
      </c>
      <c r="N87" s="1678" t="s">
        <v>484</v>
      </c>
      <c r="O87" s="1661">
        <f>SUM(G87:H90)</f>
        <v>0</v>
      </c>
      <c r="P87" s="1203" t="s">
        <v>452</v>
      </c>
      <c r="Q87" s="1548">
        <f>IF(O90=0,REPT("　",O92*L87),CONCATENATE(LEFT('記入シート'!C75,$L$49),REPT("　",G88),LEFT('記入シート'!C76,L87),REPT("　",G90),REPT("　",L87*O95)))</f>
      </c>
      <c r="R87" s="313"/>
      <c r="S87" s="313"/>
      <c r="T87" s="313"/>
    </row>
    <row r="88" spans="2:20" ht="19.5" customHeight="1">
      <c r="B88" s="1807"/>
      <c r="C88" s="1674"/>
      <c r="D88" s="1700"/>
      <c r="E88" s="317" t="s">
        <v>402</v>
      </c>
      <c r="F88" s="315" t="s">
        <v>458</v>
      </c>
      <c r="G88" s="1448">
        <f>IF(G87=0,0,L87-G87)</f>
        <v>0</v>
      </c>
      <c r="H88" s="1449"/>
      <c r="I88" s="222" t="s">
        <v>452</v>
      </c>
      <c r="J88" s="1670"/>
      <c r="K88" s="1198"/>
      <c r="L88" s="1692"/>
      <c r="M88" s="1703"/>
      <c r="N88" s="1679"/>
      <c r="O88" s="1676"/>
      <c r="P88" s="1677"/>
      <c r="Q88" s="1549"/>
      <c r="R88" s="313"/>
      <c r="S88" s="313"/>
      <c r="T88" s="313"/>
    </row>
    <row r="89" spans="2:20" ht="19.5" customHeight="1">
      <c r="B89" s="1807"/>
      <c r="C89" s="1674"/>
      <c r="D89" s="1700"/>
      <c r="E89" s="317" t="s">
        <v>251</v>
      </c>
      <c r="F89" s="315" t="s">
        <v>456</v>
      </c>
      <c r="G89" s="1448">
        <f>LEN(LEFT('記入シート'!C76,L87))</f>
        <v>0</v>
      </c>
      <c r="H89" s="1449"/>
      <c r="I89" s="222" t="s">
        <v>452</v>
      </c>
      <c r="J89" s="1671" t="s">
        <v>350</v>
      </c>
      <c r="K89" s="1194">
        <f ca="1">CELL("row",'記入シート'!C76)</f>
        <v>76</v>
      </c>
      <c r="L89" s="1692"/>
      <c r="M89" s="1703"/>
      <c r="N89" s="1680"/>
      <c r="O89" s="1662"/>
      <c r="P89" s="1195"/>
      <c r="Q89" s="320"/>
      <c r="R89" s="313"/>
      <c r="S89" s="313"/>
      <c r="T89" s="313"/>
    </row>
    <row r="90" spans="2:20" ht="19.5" customHeight="1">
      <c r="B90" s="1807"/>
      <c r="C90" s="1674"/>
      <c r="D90" s="1700"/>
      <c r="E90" s="314"/>
      <c r="F90" s="318" t="s">
        <v>459</v>
      </c>
      <c r="G90" s="1448">
        <f>IF(G89=0,0,L87-G89)</f>
        <v>0</v>
      </c>
      <c r="H90" s="1449"/>
      <c r="I90" s="271" t="s">
        <v>452</v>
      </c>
      <c r="J90" s="1672"/>
      <c r="K90" s="1195"/>
      <c r="L90" s="1693"/>
      <c r="M90" s="1703"/>
      <c r="N90" s="1665" t="s">
        <v>479</v>
      </c>
      <c r="O90" s="1667">
        <f>O87/$L$49</f>
        <v>0</v>
      </c>
      <c r="P90" s="1194" t="s">
        <v>453</v>
      </c>
      <c r="Q90" s="320"/>
      <c r="R90" s="313"/>
      <c r="S90" s="313"/>
      <c r="T90" s="313"/>
    </row>
    <row r="91" spans="2:20" ht="19.5" customHeight="1">
      <c r="B91" s="1807"/>
      <c r="C91" s="1674"/>
      <c r="D91" s="1700"/>
      <c r="E91" s="331"/>
      <c r="F91" s="316"/>
      <c r="G91" s="316"/>
      <c r="H91" s="282"/>
      <c r="I91" s="332"/>
      <c r="J91" s="1006"/>
      <c r="K91" s="332"/>
      <c r="L91" s="334"/>
      <c r="M91" s="333"/>
      <c r="N91" s="1675"/>
      <c r="O91" s="1676"/>
      <c r="P91" s="1677"/>
      <c r="Q91" s="320"/>
      <c r="R91" s="313"/>
      <c r="S91" s="313"/>
      <c r="T91" s="313"/>
    </row>
    <row r="92" spans="2:20" ht="19.5" customHeight="1">
      <c r="B92" s="1807"/>
      <c r="C92" s="1674"/>
      <c r="D92" s="1700"/>
      <c r="E92" s="331"/>
      <c r="F92" s="312"/>
      <c r="G92" s="312"/>
      <c r="H92" s="285"/>
      <c r="I92" s="336"/>
      <c r="J92" s="1008"/>
      <c r="K92" s="336"/>
      <c r="L92" s="338"/>
      <c r="M92" s="337"/>
      <c r="N92" s="1665" t="s">
        <v>483</v>
      </c>
      <c r="O92" s="1667">
        <f>MAX(G74,O82,O90)</f>
        <v>0</v>
      </c>
      <c r="P92" s="1194" t="s">
        <v>453</v>
      </c>
      <c r="Q92" s="320"/>
      <c r="R92" s="313"/>
      <c r="S92" s="313"/>
      <c r="T92" s="313"/>
    </row>
    <row r="93" spans="2:20" ht="19.5" customHeight="1">
      <c r="B93" s="1807"/>
      <c r="C93" s="1674"/>
      <c r="D93" s="1700"/>
      <c r="E93" s="331"/>
      <c r="F93" s="312"/>
      <c r="G93" s="312"/>
      <c r="H93" s="285"/>
      <c r="I93" s="336"/>
      <c r="J93" s="1008"/>
      <c r="K93" s="336"/>
      <c r="L93" s="338"/>
      <c r="M93" s="337"/>
      <c r="N93" s="1675"/>
      <c r="O93" s="1676"/>
      <c r="P93" s="1677"/>
      <c r="Q93" s="320"/>
      <c r="R93" s="313"/>
      <c r="S93" s="313"/>
      <c r="T93" s="313"/>
    </row>
    <row r="94" spans="2:20" ht="19.5" customHeight="1">
      <c r="B94" s="1807"/>
      <c r="C94" s="1674"/>
      <c r="D94" s="1700"/>
      <c r="E94" s="331"/>
      <c r="F94" s="312"/>
      <c r="G94" s="312"/>
      <c r="H94" s="285"/>
      <c r="I94" s="336"/>
      <c r="J94" s="1008"/>
      <c r="K94" s="336"/>
      <c r="L94" s="338"/>
      <c r="M94" s="337"/>
      <c r="N94" s="1698"/>
      <c r="O94" s="1662"/>
      <c r="P94" s="1195"/>
      <c r="Q94" s="320"/>
      <c r="R94" s="313"/>
      <c r="S94" s="313"/>
      <c r="T94" s="313"/>
    </row>
    <row r="95" spans="2:20" ht="19.5" customHeight="1">
      <c r="B95" s="1807"/>
      <c r="C95" s="1674"/>
      <c r="D95" s="1700"/>
      <c r="E95" s="331"/>
      <c r="F95" s="312"/>
      <c r="G95" s="312"/>
      <c r="H95" s="285"/>
      <c r="I95" s="336"/>
      <c r="J95" s="1008"/>
      <c r="K95" s="336"/>
      <c r="L95" s="338"/>
      <c r="M95" s="337"/>
      <c r="N95" s="276" t="s">
        <v>485</v>
      </c>
      <c r="O95" s="285">
        <f>O92-O90</f>
        <v>0</v>
      </c>
      <c r="P95" s="299" t="s">
        <v>453</v>
      </c>
      <c r="Q95" s="320"/>
      <c r="R95" s="313"/>
      <c r="S95" s="313"/>
      <c r="T95" s="313"/>
    </row>
    <row r="96" spans="2:20" ht="19.5" customHeight="1">
      <c r="B96" s="1807"/>
      <c r="C96" s="1674"/>
      <c r="D96" s="1700"/>
      <c r="E96" s="331"/>
      <c r="F96" s="312"/>
      <c r="G96" s="312"/>
      <c r="H96" s="285"/>
      <c r="I96" s="336"/>
      <c r="J96" s="1008"/>
      <c r="K96" s="336"/>
      <c r="L96" s="338"/>
      <c r="M96" s="337"/>
      <c r="N96" s="1904" t="s">
        <v>125</v>
      </c>
      <c r="O96" s="1694" t="str">
        <f>IF(O90&gt;M87,"OVER","INSIDE")</f>
        <v>INSIDE</v>
      </c>
      <c r="P96" s="1695"/>
      <c r="Q96" s="320"/>
      <c r="R96" s="313"/>
      <c r="S96" s="313"/>
      <c r="T96" s="313"/>
    </row>
    <row r="97" spans="2:20" ht="19.5" customHeight="1" thickBot="1">
      <c r="B97" s="1807"/>
      <c r="C97" s="1674"/>
      <c r="D97" s="1700"/>
      <c r="E97" s="331"/>
      <c r="F97" s="312"/>
      <c r="G97" s="312"/>
      <c r="H97" s="285"/>
      <c r="I97" s="336"/>
      <c r="J97" s="1008"/>
      <c r="K97" s="336"/>
      <c r="L97" s="338"/>
      <c r="M97" s="337"/>
      <c r="N97" s="1905"/>
      <c r="O97" s="1696"/>
      <c r="P97" s="1697"/>
      <c r="Q97" s="320"/>
      <c r="R97" s="313"/>
      <c r="S97" s="313"/>
      <c r="T97" s="313"/>
    </row>
    <row r="98" spans="2:20" ht="19.5" customHeight="1">
      <c r="B98" s="1807"/>
      <c r="C98" s="1674"/>
      <c r="D98" s="1700"/>
      <c r="E98" s="310"/>
      <c r="F98" s="340" t="s">
        <v>1</v>
      </c>
      <c r="G98" s="1450">
        <f>LEN(LEFT('記入シート'!D79,2))</f>
        <v>0</v>
      </c>
      <c r="H98" s="1451"/>
      <c r="I98" s="274" t="s">
        <v>452</v>
      </c>
      <c r="J98" s="1669" t="s">
        <v>345</v>
      </c>
      <c r="K98" s="1203">
        <f ca="1">CELL("row",'記入シート'!D79)</f>
        <v>79</v>
      </c>
      <c r="L98" s="1829">
        <v>2</v>
      </c>
      <c r="M98" s="1828">
        <f>M69</f>
        <v>135</v>
      </c>
      <c r="N98" s="1663" t="s">
        <v>8</v>
      </c>
      <c r="O98" s="1661">
        <f>IF(G98=0,0,1)</f>
        <v>0</v>
      </c>
      <c r="P98" s="1203" t="s">
        <v>453</v>
      </c>
      <c r="Q98" s="503" t="s">
        <v>6</v>
      </c>
      <c r="R98" s="313"/>
      <c r="S98" s="313"/>
      <c r="T98" s="313"/>
    </row>
    <row r="99" spans="2:20" ht="19.5" customHeight="1">
      <c r="B99" s="1807"/>
      <c r="C99" s="1674"/>
      <c r="D99" s="1700"/>
      <c r="E99" s="314"/>
      <c r="F99" s="315" t="s">
        <v>2</v>
      </c>
      <c r="G99" s="1448">
        <f>L98-G98</f>
        <v>2</v>
      </c>
      <c r="H99" s="1449"/>
      <c r="I99" s="222" t="s">
        <v>452</v>
      </c>
      <c r="J99" s="1670"/>
      <c r="K99" s="1195"/>
      <c r="L99" s="1690"/>
      <c r="M99" s="1819"/>
      <c r="N99" s="1664"/>
      <c r="O99" s="1662"/>
      <c r="P99" s="1195"/>
      <c r="Q99" s="986">
        <f>IF(G71=0,"",IF(O98=0,REPT("　",5*O100),CONCATENATE(REPT("　",G99),LEFT('記入シート'!D79,L98),"／",REPT("　",G101),LEFT('記入シート'!G79,L100),REPT("　",5*O100))))</f>
      </c>
      <c r="R99" s="313"/>
      <c r="S99" s="313"/>
      <c r="T99" s="313"/>
    </row>
    <row r="100" spans="2:20" ht="19.5" customHeight="1">
      <c r="B100" s="1807"/>
      <c r="C100" s="1674"/>
      <c r="D100" s="1700"/>
      <c r="E100" s="314"/>
      <c r="F100" s="315" t="s">
        <v>3</v>
      </c>
      <c r="G100" s="1448">
        <f>LEN(LEFT('記入シート'!G79,2))</f>
        <v>0</v>
      </c>
      <c r="H100" s="1449"/>
      <c r="I100" s="222" t="s">
        <v>452</v>
      </c>
      <c r="J100" s="1670" t="s">
        <v>346</v>
      </c>
      <c r="K100" s="1194">
        <f ca="1">CELL("row",'記入シート'!G79)</f>
        <v>79</v>
      </c>
      <c r="L100" s="1690">
        <v>2</v>
      </c>
      <c r="M100" s="1703">
        <f>M69</f>
        <v>135</v>
      </c>
      <c r="N100" s="352" t="s">
        <v>9</v>
      </c>
      <c r="O100" s="353">
        <f>IF(O92=0,0,O92-O98)</f>
        <v>0</v>
      </c>
      <c r="P100" s="319" t="s">
        <v>453</v>
      </c>
      <c r="Q100" s="987"/>
      <c r="R100" s="313"/>
      <c r="S100" s="313"/>
      <c r="T100" s="313"/>
    </row>
    <row r="101" spans="2:20" ht="19.5" customHeight="1">
      <c r="B101" s="1807"/>
      <c r="C101" s="1674"/>
      <c r="D101" s="1700"/>
      <c r="E101" s="317" t="s">
        <v>403</v>
      </c>
      <c r="F101" s="315" t="s">
        <v>461</v>
      </c>
      <c r="G101" s="1448">
        <f>L100-G100</f>
        <v>2</v>
      </c>
      <c r="H101" s="1449"/>
      <c r="I101" s="222" t="s">
        <v>452</v>
      </c>
      <c r="J101" s="1670"/>
      <c r="K101" s="1195"/>
      <c r="L101" s="1690"/>
      <c r="M101" s="1703"/>
      <c r="N101" s="284"/>
      <c r="O101" s="285"/>
      <c r="P101" s="286"/>
      <c r="Q101" s="988"/>
      <c r="R101" s="313"/>
      <c r="S101" s="313"/>
      <c r="T101" s="313"/>
    </row>
    <row r="102" spans="2:20" ht="19.5" customHeight="1">
      <c r="B102" s="1807"/>
      <c r="C102" s="1674"/>
      <c r="D102" s="1700"/>
      <c r="E102" s="317" t="s">
        <v>251</v>
      </c>
      <c r="F102" s="315" t="s">
        <v>4</v>
      </c>
      <c r="G102" s="1448">
        <f>LEN(LEFT('記入シート'!N79,2))</f>
        <v>0</v>
      </c>
      <c r="H102" s="1449"/>
      <c r="I102" s="222" t="s">
        <v>452</v>
      </c>
      <c r="J102" s="1670" t="s">
        <v>347</v>
      </c>
      <c r="K102" s="1194">
        <f ca="1">CELL("row",'記入シート'!N79)</f>
        <v>79</v>
      </c>
      <c r="L102" s="1690">
        <v>2</v>
      </c>
      <c r="M102" s="1703">
        <f>M69</f>
        <v>135</v>
      </c>
      <c r="N102" s="1833" t="s">
        <v>178</v>
      </c>
      <c r="O102" s="1667">
        <f>IF(G102=0,0,1)</f>
        <v>0</v>
      </c>
      <c r="P102" s="1194" t="s">
        <v>453</v>
      </c>
      <c r="Q102" s="503" t="s">
        <v>7</v>
      </c>
      <c r="R102" s="313"/>
      <c r="S102" s="313"/>
      <c r="T102" s="313"/>
    </row>
    <row r="103" spans="2:20" ht="19.5" customHeight="1">
      <c r="B103" s="1807"/>
      <c r="C103" s="1674"/>
      <c r="D103" s="1700"/>
      <c r="E103" s="314"/>
      <c r="F103" s="315" t="s">
        <v>5</v>
      </c>
      <c r="G103" s="1448">
        <f>L102-G102</f>
        <v>2</v>
      </c>
      <c r="H103" s="1449"/>
      <c r="I103" s="222" t="s">
        <v>452</v>
      </c>
      <c r="J103" s="1670"/>
      <c r="K103" s="1195"/>
      <c r="L103" s="1690"/>
      <c r="M103" s="1703"/>
      <c r="N103" s="1664"/>
      <c r="O103" s="1662"/>
      <c r="P103" s="1195"/>
      <c r="Q103" s="986">
        <f>IF(G71=0,"",IF(O102=0,REPT("　",5*O104),CONCATENATE(REPT("　",G103),LEFT('記入シート'!N79,L102),"／",REPT("　",G105),LEFT('記入シート'!Q79,L104),REPT("　",5*O104))))</f>
      </c>
      <c r="R103" s="313"/>
      <c r="S103" s="313"/>
      <c r="T103" s="313"/>
    </row>
    <row r="104" spans="2:20" ht="19.5" customHeight="1">
      <c r="B104" s="1807"/>
      <c r="C104" s="1674"/>
      <c r="D104" s="1700"/>
      <c r="E104" s="314"/>
      <c r="F104" s="315" t="s">
        <v>462</v>
      </c>
      <c r="G104" s="1448">
        <f>LEN(LEFT('記入シート'!Q79,2))</f>
        <v>0</v>
      </c>
      <c r="H104" s="1449"/>
      <c r="I104" s="222" t="s">
        <v>452</v>
      </c>
      <c r="J104" s="1670" t="s">
        <v>348</v>
      </c>
      <c r="K104" s="1194">
        <f ca="1">CELL("row",'記入シート'!Q79)</f>
        <v>79</v>
      </c>
      <c r="L104" s="1690">
        <v>2</v>
      </c>
      <c r="M104" s="1703">
        <f>M69</f>
        <v>135</v>
      </c>
      <c r="N104" s="352" t="s">
        <v>179</v>
      </c>
      <c r="O104" s="353">
        <f>IF(O92=0,0,O92-O102)</f>
        <v>0</v>
      </c>
      <c r="P104" s="319" t="s">
        <v>453</v>
      </c>
      <c r="Q104" s="987"/>
      <c r="R104" s="313"/>
      <c r="S104" s="313"/>
      <c r="T104" s="313"/>
    </row>
    <row r="105" spans="2:20" ht="19.5" customHeight="1" thickBot="1">
      <c r="B105" s="1807"/>
      <c r="C105" s="1674"/>
      <c r="D105" s="1700"/>
      <c r="E105" s="659"/>
      <c r="F105" s="315" t="s">
        <v>463</v>
      </c>
      <c r="G105" s="1496">
        <f>L104-G104</f>
        <v>2</v>
      </c>
      <c r="H105" s="1497"/>
      <c r="I105" s="222" t="s">
        <v>452</v>
      </c>
      <c r="J105" s="1687"/>
      <c r="K105" s="1196"/>
      <c r="L105" s="1809"/>
      <c r="M105" s="1819"/>
      <c r="N105" s="284"/>
      <c r="O105" s="285"/>
      <c r="P105" s="286"/>
      <c r="Q105" s="989"/>
      <c r="R105" s="313"/>
      <c r="S105" s="313"/>
      <c r="T105" s="313"/>
    </row>
    <row r="106" spans="2:20" ht="19.5" customHeight="1">
      <c r="B106" s="1807"/>
      <c r="C106" s="1674"/>
      <c r="D106" s="1700"/>
      <c r="E106" s="660" t="s">
        <v>404</v>
      </c>
      <c r="F106" s="329" t="s">
        <v>420</v>
      </c>
      <c r="G106" s="1450">
        <f>IF('記入シート'!C82=0,0,1)</f>
        <v>0</v>
      </c>
      <c r="H106" s="1451"/>
      <c r="I106" s="274" t="s">
        <v>452</v>
      </c>
      <c r="J106" s="1688" t="s">
        <v>349</v>
      </c>
      <c r="K106" s="1197">
        <f ca="1">CELL("row",'記入シート'!C82)</f>
        <v>82</v>
      </c>
      <c r="L106" s="1691">
        <f>$L$66</f>
        <v>1</v>
      </c>
      <c r="M106" s="1705">
        <f>M69</f>
        <v>135</v>
      </c>
      <c r="N106" s="1663" t="s">
        <v>10</v>
      </c>
      <c r="O106" s="1661">
        <f>IF(G106=0,0,1)</f>
        <v>0</v>
      </c>
      <c r="P106" s="1203" t="s">
        <v>453</v>
      </c>
      <c r="Q106" s="639">
        <f>IF(G71=0,"",CONCATENATE(LEFT('記入シート'!C82,1),REPT("　",O108)))</f>
      </c>
      <c r="R106" s="313"/>
      <c r="S106" s="313"/>
      <c r="T106" s="313"/>
    </row>
    <row r="107" spans="2:20" ht="19.5" customHeight="1">
      <c r="B107" s="1807"/>
      <c r="C107" s="1674"/>
      <c r="D107" s="1700"/>
      <c r="E107" s="317" t="s">
        <v>251</v>
      </c>
      <c r="F107" s="315" t="s">
        <v>460</v>
      </c>
      <c r="G107" s="1448">
        <f>L106-G106</f>
        <v>1</v>
      </c>
      <c r="H107" s="1449"/>
      <c r="I107" s="222" t="s">
        <v>452</v>
      </c>
      <c r="J107" s="1689"/>
      <c r="K107" s="1198"/>
      <c r="L107" s="1692"/>
      <c r="M107" s="1706"/>
      <c r="N107" s="1664"/>
      <c r="O107" s="1662"/>
      <c r="P107" s="1195"/>
      <c r="Q107" s="320"/>
      <c r="R107" s="313"/>
      <c r="S107" s="313"/>
      <c r="T107" s="313"/>
    </row>
    <row r="108" spans="2:20" ht="19.5" customHeight="1" thickBot="1">
      <c r="B108" s="1815"/>
      <c r="C108" s="1825"/>
      <c r="D108" s="1826"/>
      <c r="E108" s="343"/>
      <c r="F108" s="354" t="s">
        <v>158</v>
      </c>
      <c r="G108" s="355" t="s">
        <v>161</v>
      </c>
      <c r="H108" s="356">
        <f>WIDECHAR('記入シート'!C82)</f>
      </c>
      <c r="I108" s="357" t="s">
        <v>162</v>
      </c>
      <c r="J108" s="1810"/>
      <c r="K108" s="1199"/>
      <c r="L108" s="1811"/>
      <c r="M108" s="1827"/>
      <c r="N108" s="358" t="s">
        <v>486</v>
      </c>
      <c r="O108" s="359">
        <f>IF(O92=0,0,O92-O106)</f>
        <v>0</v>
      </c>
      <c r="P108" s="360" t="s">
        <v>453</v>
      </c>
      <c r="Q108" s="320"/>
      <c r="R108" s="313"/>
      <c r="S108" s="313"/>
      <c r="T108" s="313"/>
    </row>
    <row r="109" spans="2:20" ht="19.5" customHeight="1" thickTop="1">
      <c r="B109" s="1805" t="s">
        <v>104</v>
      </c>
      <c r="C109" s="1673" t="s">
        <v>400</v>
      </c>
      <c r="D109" s="1699" t="s">
        <v>473</v>
      </c>
      <c r="E109" s="344" t="s">
        <v>437</v>
      </c>
      <c r="F109" s="345"/>
      <c r="G109" s="1717">
        <f>G69-G76-O69*L69</f>
        <v>2565</v>
      </c>
      <c r="H109" s="1718"/>
      <c r="I109" s="345" t="s">
        <v>452</v>
      </c>
      <c r="J109" s="1715" t="s">
        <v>349</v>
      </c>
      <c r="K109" s="1200">
        <f ca="1">CELL("row",'記入シート'!C87)</f>
        <v>87</v>
      </c>
      <c r="L109" s="1820">
        <f>$L$32</f>
        <v>19</v>
      </c>
      <c r="M109" s="1701">
        <f>G109/L109</f>
        <v>135</v>
      </c>
      <c r="N109" s="1817" t="s">
        <v>481</v>
      </c>
      <c r="O109" s="1818">
        <f>O132-G114</f>
        <v>0</v>
      </c>
      <c r="P109" s="1873" t="s">
        <v>453</v>
      </c>
      <c r="Q109" s="1263">
        <f>IF(G113=0,REPT("　",O132*L109),CONCATENATE("③　",'記入シート'!C87,REPT("　",O109*L32+ABS(G115))))</f>
      </c>
      <c r="R109" s="1264"/>
      <c r="S109" s="1264"/>
      <c r="T109" s="1710"/>
    </row>
    <row r="110" spans="2:20" ht="19.5" customHeight="1">
      <c r="B110" s="1806"/>
      <c r="C110" s="1674"/>
      <c r="D110" s="1700"/>
      <c r="E110" s="297" t="s">
        <v>136</v>
      </c>
      <c r="F110" s="298"/>
      <c r="G110" s="1206">
        <f>IF(G109&gt;2,G109-2,0)</f>
        <v>2563</v>
      </c>
      <c r="H110" s="1207"/>
      <c r="I110" s="796" t="s">
        <v>452</v>
      </c>
      <c r="J110" s="1689"/>
      <c r="K110" s="1198"/>
      <c r="L110" s="1692"/>
      <c r="M110" s="1702"/>
      <c r="N110" s="1675"/>
      <c r="O110" s="1676"/>
      <c r="P110" s="1677"/>
      <c r="Q110" s="1266"/>
      <c r="R110" s="1267"/>
      <c r="S110" s="1267"/>
      <c r="T110" s="1711"/>
    </row>
    <row r="111" spans="2:20" ht="19.5" customHeight="1">
      <c r="B111" s="1807"/>
      <c r="C111" s="1674"/>
      <c r="D111" s="1700"/>
      <c r="E111" s="300" t="s">
        <v>151</v>
      </c>
      <c r="F111" s="301"/>
      <c r="G111" s="1452">
        <f>LEN('記入シート'!C87)</f>
        <v>0</v>
      </c>
      <c r="H111" s="1453"/>
      <c r="I111" s="298" t="s">
        <v>452</v>
      </c>
      <c r="J111" s="1689"/>
      <c r="K111" s="1198"/>
      <c r="L111" s="1692"/>
      <c r="M111" s="1703"/>
      <c r="N111" s="1698"/>
      <c r="O111" s="1662"/>
      <c r="P111" s="1195"/>
      <c r="Q111" s="1266"/>
      <c r="R111" s="1267"/>
      <c r="S111" s="1267"/>
      <c r="T111" s="1711"/>
    </row>
    <row r="112" spans="2:20" ht="19.5" customHeight="1">
      <c r="B112" s="1807"/>
      <c r="C112" s="1674"/>
      <c r="D112" s="1700"/>
      <c r="E112" s="300" t="s">
        <v>167</v>
      </c>
      <c r="F112" s="301"/>
      <c r="G112" s="1110" t="str">
        <f>IF(G111&gt;G110,"OVER","INSIDE")</f>
        <v>INSIDE</v>
      </c>
      <c r="H112" s="1111"/>
      <c r="I112" s="1112"/>
      <c r="J112" s="1689"/>
      <c r="K112" s="1198"/>
      <c r="L112" s="1692"/>
      <c r="M112" s="1703"/>
      <c r="N112" s="303"/>
      <c r="O112" s="285"/>
      <c r="P112" s="286"/>
      <c r="Q112" s="1266"/>
      <c r="R112" s="1267"/>
      <c r="S112" s="1267"/>
      <c r="T112" s="1711"/>
    </row>
    <row r="113" spans="2:20" ht="19.5" customHeight="1">
      <c r="B113" s="1807"/>
      <c r="C113" s="1674"/>
      <c r="D113" s="1700"/>
      <c r="E113" s="300" t="s">
        <v>155</v>
      </c>
      <c r="F113" s="301"/>
      <c r="G113" s="1452">
        <f>IF(G111=0,0,IF(G112="OVER",0,G111+2))</f>
        <v>0</v>
      </c>
      <c r="H113" s="1453"/>
      <c r="I113" s="298" t="s">
        <v>452</v>
      </c>
      <c r="J113" s="1689"/>
      <c r="K113" s="1198"/>
      <c r="L113" s="1692"/>
      <c r="M113" s="1703"/>
      <c r="N113" s="303"/>
      <c r="O113" s="285"/>
      <c r="P113" s="286"/>
      <c r="Q113" s="1266"/>
      <c r="R113" s="1267"/>
      <c r="S113" s="1267"/>
      <c r="T113" s="1711"/>
    </row>
    <row r="114" spans="2:20" ht="19.5" customHeight="1">
      <c r="B114" s="1807"/>
      <c r="C114" s="1674"/>
      <c r="D114" s="1700"/>
      <c r="E114" s="304" t="s">
        <v>451</v>
      </c>
      <c r="F114" s="305"/>
      <c r="G114" s="1452">
        <f>ROUNDUP(G113/L109,0)</f>
        <v>0</v>
      </c>
      <c r="H114" s="1453"/>
      <c r="I114" s="298" t="s">
        <v>453</v>
      </c>
      <c r="J114" s="1689"/>
      <c r="K114" s="1198"/>
      <c r="L114" s="1692"/>
      <c r="M114" s="1703"/>
      <c r="N114" s="303"/>
      <c r="O114" s="285"/>
      <c r="P114" s="286"/>
      <c r="Q114" s="1266"/>
      <c r="R114" s="1267"/>
      <c r="S114" s="1267"/>
      <c r="T114" s="1711"/>
    </row>
    <row r="115" spans="2:20" ht="19.5" customHeight="1">
      <c r="B115" s="1807"/>
      <c r="C115" s="1674"/>
      <c r="D115" s="1700"/>
      <c r="E115" s="304" t="s">
        <v>419</v>
      </c>
      <c r="F115" s="305"/>
      <c r="G115" s="1452">
        <f>G113-G114*L109</f>
        <v>0</v>
      </c>
      <c r="H115" s="1453"/>
      <c r="I115" s="298" t="s">
        <v>452</v>
      </c>
      <c r="J115" s="1689"/>
      <c r="K115" s="1198"/>
      <c r="L115" s="1692"/>
      <c r="M115" s="1703"/>
      <c r="N115" s="303"/>
      <c r="O115" s="285"/>
      <c r="P115" s="286"/>
      <c r="Q115" s="1266"/>
      <c r="R115" s="1267"/>
      <c r="S115" s="1267"/>
      <c r="T115" s="1711"/>
    </row>
    <row r="116" spans="2:20" ht="19.5" customHeight="1" thickBot="1">
      <c r="B116" s="1807"/>
      <c r="C116" s="1674"/>
      <c r="D116" s="1700"/>
      <c r="E116" s="306" t="s">
        <v>423</v>
      </c>
      <c r="F116" s="307"/>
      <c r="G116" s="1713">
        <f>G114*L109</f>
        <v>0</v>
      </c>
      <c r="H116" s="1714"/>
      <c r="I116" s="308" t="s">
        <v>452</v>
      </c>
      <c r="J116" s="1716"/>
      <c r="K116" s="1201"/>
      <c r="L116" s="1821"/>
      <c r="M116" s="1704"/>
      <c r="N116" s="309"/>
      <c r="O116" s="292"/>
      <c r="P116" s="293"/>
      <c r="Q116" s="1269"/>
      <c r="R116" s="1270"/>
      <c r="S116" s="1270"/>
      <c r="T116" s="1712"/>
    </row>
    <row r="117" spans="2:20" ht="19.5" customHeight="1">
      <c r="B117" s="1807"/>
      <c r="C117" s="1674"/>
      <c r="D117" s="1700"/>
      <c r="E117" s="310"/>
      <c r="F117" s="311" t="s">
        <v>455</v>
      </c>
      <c r="G117" s="1450">
        <f>LEN(LEFT('記入シート'!C91,L117))</f>
        <v>0</v>
      </c>
      <c r="H117" s="1451"/>
      <c r="I117" s="299" t="s">
        <v>452</v>
      </c>
      <c r="J117" s="1672" t="s">
        <v>350</v>
      </c>
      <c r="K117" s="1197">
        <f ca="1">CELL("row",'記入シート'!C91)</f>
        <v>91</v>
      </c>
      <c r="L117" s="1692">
        <f>$L$40</f>
        <v>6</v>
      </c>
      <c r="M117" s="1837">
        <f>M109</f>
        <v>135</v>
      </c>
      <c r="N117" s="1678" t="s">
        <v>474</v>
      </c>
      <c r="O117" s="1676">
        <f>SUM(G117:H124)</f>
        <v>0</v>
      </c>
      <c r="P117" s="1708" t="s">
        <v>452</v>
      </c>
      <c r="Q117" s="1554">
        <f>IF(O122=0,REPT("　",O132*L117),CONCATENATE(LEFT('記入シート'!C91,L117),REPT("　",G118),LEFT('記入シート'!C92,L117),REPT("　",G120),LEFT('記入シート'!C93,L117),REPT("　",G122),LEFT('記入シート'!C94,L117),REPT("　",G124),REPT("　",L117*O124)))</f>
      </c>
      <c r="R117" s="313"/>
      <c r="S117" s="313"/>
      <c r="T117" s="313"/>
    </row>
    <row r="118" spans="2:20" ht="19.5" customHeight="1">
      <c r="B118" s="1807"/>
      <c r="C118" s="1674"/>
      <c r="D118" s="1700"/>
      <c r="E118" s="314"/>
      <c r="F118" s="315" t="s">
        <v>458</v>
      </c>
      <c r="G118" s="1448">
        <f>IF(G117=0,0,L117-G117)</f>
        <v>0</v>
      </c>
      <c r="H118" s="1449"/>
      <c r="I118" s="222" t="s">
        <v>452</v>
      </c>
      <c r="J118" s="1670"/>
      <c r="K118" s="1198"/>
      <c r="L118" s="1692"/>
      <c r="M118" s="1837"/>
      <c r="N118" s="1679"/>
      <c r="O118" s="1676"/>
      <c r="P118" s="1708"/>
      <c r="Q118" s="1554"/>
      <c r="R118" s="313"/>
      <c r="S118" s="313"/>
      <c r="T118" s="313"/>
    </row>
    <row r="119" spans="2:20" ht="19.5" customHeight="1">
      <c r="B119" s="1807"/>
      <c r="C119" s="1674"/>
      <c r="D119" s="1700"/>
      <c r="E119" s="314"/>
      <c r="F119" s="315" t="s">
        <v>456</v>
      </c>
      <c r="G119" s="1448">
        <f>LEN(LEFT('記入シート'!C92,L117))</f>
        <v>0</v>
      </c>
      <c r="H119" s="1449"/>
      <c r="I119" s="222" t="s">
        <v>452</v>
      </c>
      <c r="J119" s="1670" t="s">
        <v>350</v>
      </c>
      <c r="K119" s="1202">
        <f ca="1">CELL("row",'記入シート'!C92)</f>
        <v>92</v>
      </c>
      <c r="L119" s="1692"/>
      <c r="M119" s="1837"/>
      <c r="N119" s="1679"/>
      <c r="O119" s="1676"/>
      <c r="P119" s="1708"/>
      <c r="Q119" s="1554"/>
      <c r="R119" s="313"/>
      <c r="S119" s="313"/>
      <c r="T119" s="313"/>
    </row>
    <row r="120" spans="2:20" ht="19.5" customHeight="1">
      <c r="B120" s="1807"/>
      <c r="C120" s="1674"/>
      <c r="D120" s="1700"/>
      <c r="E120" s="317" t="s">
        <v>401</v>
      </c>
      <c r="F120" s="315" t="s">
        <v>459</v>
      </c>
      <c r="G120" s="1448">
        <f>IF(G119=0,0,L117-G119)</f>
        <v>0</v>
      </c>
      <c r="H120" s="1449"/>
      <c r="I120" s="222" t="s">
        <v>452</v>
      </c>
      <c r="J120" s="1670"/>
      <c r="K120" s="1202"/>
      <c r="L120" s="1692"/>
      <c r="M120" s="1837"/>
      <c r="N120" s="1679"/>
      <c r="O120" s="1676"/>
      <c r="P120" s="1708"/>
      <c r="Q120" s="1549"/>
      <c r="R120" s="313"/>
      <c r="S120" s="313"/>
      <c r="T120" s="313"/>
    </row>
    <row r="121" spans="2:20" ht="19.5" customHeight="1">
      <c r="B121" s="1807"/>
      <c r="C121" s="1674"/>
      <c r="D121" s="1700"/>
      <c r="E121" s="317" t="s">
        <v>255</v>
      </c>
      <c r="F121" s="318" t="s">
        <v>475</v>
      </c>
      <c r="G121" s="1448">
        <f>LEN(LEFT('記入シート'!C93,L117))</f>
        <v>0</v>
      </c>
      <c r="H121" s="1449"/>
      <c r="I121" s="222" t="s">
        <v>452</v>
      </c>
      <c r="J121" s="1671" t="s">
        <v>350</v>
      </c>
      <c r="K121" s="1202">
        <f ca="1">CELL("row",'記入シート'!C93)</f>
        <v>93</v>
      </c>
      <c r="L121" s="1692"/>
      <c r="M121" s="1837"/>
      <c r="N121" s="1680"/>
      <c r="O121" s="1662"/>
      <c r="P121" s="1709"/>
      <c r="Q121" s="320"/>
      <c r="R121" s="313"/>
      <c r="S121" s="313"/>
      <c r="T121" s="313"/>
    </row>
    <row r="122" spans="2:20" ht="19.5" customHeight="1">
      <c r="B122" s="1807"/>
      <c r="C122" s="1674"/>
      <c r="D122" s="1700"/>
      <c r="E122" s="314"/>
      <c r="F122" s="318" t="s">
        <v>476</v>
      </c>
      <c r="G122" s="1448">
        <f>IF(G121=0,0,L117-G121)</f>
        <v>0</v>
      </c>
      <c r="H122" s="1449"/>
      <c r="I122" s="222" t="s">
        <v>452</v>
      </c>
      <c r="J122" s="1672"/>
      <c r="K122" s="1202"/>
      <c r="L122" s="1692"/>
      <c r="M122" s="1837"/>
      <c r="N122" s="1665" t="s">
        <v>480</v>
      </c>
      <c r="O122" s="1667">
        <f>O117/$L$40</f>
        <v>0</v>
      </c>
      <c r="P122" s="1194" t="s">
        <v>453</v>
      </c>
      <c r="Q122" s="320"/>
      <c r="R122" s="313"/>
      <c r="S122" s="313"/>
      <c r="T122" s="313"/>
    </row>
    <row r="123" spans="2:20" ht="19.5" customHeight="1">
      <c r="B123" s="1807"/>
      <c r="C123" s="1674"/>
      <c r="D123" s="1700"/>
      <c r="E123" s="314"/>
      <c r="F123" s="318" t="s">
        <v>477</v>
      </c>
      <c r="G123" s="1448">
        <f>LEN(LEFT('記入シート'!C94,L117))</f>
        <v>0</v>
      </c>
      <c r="H123" s="1449"/>
      <c r="I123" s="222" t="s">
        <v>452</v>
      </c>
      <c r="J123" s="1671" t="s">
        <v>350</v>
      </c>
      <c r="K123" s="1202">
        <f ca="1">CELL("row",'記入シート'!C94)</f>
        <v>94</v>
      </c>
      <c r="L123" s="1692"/>
      <c r="M123" s="1837"/>
      <c r="N123" s="1698"/>
      <c r="O123" s="1662"/>
      <c r="P123" s="1195"/>
      <c r="Q123" s="320"/>
      <c r="R123" s="313"/>
      <c r="S123" s="313"/>
      <c r="T123" s="313"/>
    </row>
    <row r="124" spans="2:20" ht="19.5" customHeight="1">
      <c r="B124" s="1807"/>
      <c r="C124" s="1674"/>
      <c r="D124" s="1700"/>
      <c r="E124" s="314"/>
      <c r="F124" s="315" t="s">
        <v>478</v>
      </c>
      <c r="G124" s="1448">
        <f>IF(G123=0,0,L117-G123)</f>
        <v>0</v>
      </c>
      <c r="H124" s="1449"/>
      <c r="I124" s="222" t="s">
        <v>452</v>
      </c>
      <c r="J124" s="1689"/>
      <c r="K124" s="1202"/>
      <c r="L124" s="1692"/>
      <c r="M124" s="1837"/>
      <c r="N124" s="346" t="s">
        <v>482</v>
      </c>
      <c r="O124" s="347">
        <f>O132-O122</f>
        <v>0</v>
      </c>
      <c r="P124" s="222" t="s">
        <v>453</v>
      </c>
      <c r="Q124" s="320"/>
      <c r="R124" s="313"/>
      <c r="S124" s="313"/>
      <c r="T124" s="313"/>
    </row>
    <row r="125" spans="2:20" ht="19.5" customHeight="1">
      <c r="B125" s="1807"/>
      <c r="C125" s="1674"/>
      <c r="D125" s="1700"/>
      <c r="E125" s="331"/>
      <c r="F125" s="316"/>
      <c r="G125" s="316"/>
      <c r="H125" s="282"/>
      <c r="I125" s="332"/>
      <c r="J125" s="1006"/>
      <c r="K125" s="1020"/>
      <c r="L125" s="334"/>
      <c r="M125" s="335"/>
      <c r="N125" s="1681" t="s">
        <v>124</v>
      </c>
      <c r="O125" s="1694" t="str">
        <f>IF(O122&gt;G109/L109,"OVER","INSIDE")</f>
        <v>INSIDE</v>
      </c>
      <c r="P125" s="1695"/>
      <c r="Q125" s="320"/>
      <c r="R125" s="313"/>
      <c r="S125" s="313"/>
      <c r="T125" s="313"/>
    </row>
    <row r="126" spans="2:20" ht="19.5" customHeight="1" thickBot="1">
      <c r="B126" s="1807"/>
      <c r="C126" s="1674"/>
      <c r="D126" s="1700"/>
      <c r="E126" s="321"/>
      <c r="F126" s="348"/>
      <c r="G126" s="348"/>
      <c r="H126" s="292"/>
      <c r="I126" s="349"/>
      <c r="J126" s="1007"/>
      <c r="K126" s="1021"/>
      <c r="L126" s="350"/>
      <c r="M126" s="351"/>
      <c r="N126" s="1682"/>
      <c r="O126" s="1696"/>
      <c r="P126" s="1697"/>
      <c r="Q126" s="320"/>
      <c r="R126" s="313"/>
      <c r="S126" s="313"/>
      <c r="T126" s="313"/>
    </row>
    <row r="127" spans="2:20" ht="19.5" customHeight="1">
      <c r="B127" s="1807"/>
      <c r="C127" s="1674"/>
      <c r="D127" s="1700"/>
      <c r="E127" s="310"/>
      <c r="F127" s="329" t="s">
        <v>455</v>
      </c>
      <c r="G127" s="1450">
        <f>LEN(LEFT('記入シート'!C97,L127))</f>
        <v>0</v>
      </c>
      <c r="H127" s="1451"/>
      <c r="I127" s="274" t="s">
        <v>452</v>
      </c>
      <c r="J127" s="1669" t="s">
        <v>350</v>
      </c>
      <c r="K127" s="1197">
        <f ca="1">CELL("row",'記入シート'!C97)</f>
        <v>97</v>
      </c>
      <c r="L127" s="1691">
        <f>$L$49</f>
        <v>6</v>
      </c>
      <c r="M127" s="1828">
        <f>M109</f>
        <v>135</v>
      </c>
      <c r="N127" s="1678" t="s">
        <v>484</v>
      </c>
      <c r="O127" s="1661">
        <f>SUM(G127:H130)</f>
        <v>0</v>
      </c>
      <c r="P127" s="1203" t="s">
        <v>452</v>
      </c>
      <c r="Q127" s="1548">
        <f>IF(O130=0,REPT("　",O132*L127),CONCATENATE(LEFT('記入シート'!C97,L127),REPT("　",G128),LEFT('記入シート'!C98,L127),REPT("　",G130),REPT("　",L127*O135)))</f>
      </c>
      <c r="R127" s="313"/>
      <c r="S127" s="313"/>
      <c r="T127" s="313"/>
    </row>
    <row r="128" spans="2:20" ht="19.5" customHeight="1">
      <c r="B128" s="1807"/>
      <c r="C128" s="1674"/>
      <c r="D128" s="1700"/>
      <c r="E128" s="317" t="s">
        <v>402</v>
      </c>
      <c r="F128" s="315" t="s">
        <v>458</v>
      </c>
      <c r="G128" s="1448">
        <f>IF(G127=0,0,L127-G127)</f>
        <v>0</v>
      </c>
      <c r="H128" s="1449"/>
      <c r="I128" s="222" t="s">
        <v>452</v>
      </c>
      <c r="J128" s="1670"/>
      <c r="K128" s="1198"/>
      <c r="L128" s="1692"/>
      <c r="M128" s="1703"/>
      <c r="N128" s="1679"/>
      <c r="O128" s="1676"/>
      <c r="P128" s="1677"/>
      <c r="Q128" s="1549"/>
      <c r="R128" s="313"/>
      <c r="S128" s="313"/>
      <c r="T128" s="313"/>
    </row>
    <row r="129" spans="2:20" ht="19.5" customHeight="1">
      <c r="B129" s="1807"/>
      <c r="C129" s="1674"/>
      <c r="D129" s="1700"/>
      <c r="E129" s="317" t="s">
        <v>255</v>
      </c>
      <c r="F129" s="315" t="s">
        <v>456</v>
      </c>
      <c r="G129" s="1448">
        <f>LEN(LEFT('記入シート'!C98,L127))</f>
        <v>0</v>
      </c>
      <c r="H129" s="1449"/>
      <c r="I129" s="222" t="s">
        <v>452</v>
      </c>
      <c r="J129" s="1671" t="s">
        <v>350</v>
      </c>
      <c r="K129" s="1194">
        <f ca="1">CELL("row",'記入シート'!C98)</f>
        <v>98</v>
      </c>
      <c r="L129" s="1692"/>
      <c r="M129" s="1703"/>
      <c r="N129" s="1680"/>
      <c r="O129" s="1662"/>
      <c r="P129" s="1195"/>
      <c r="Q129" s="320"/>
      <c r="R129" s="313"/>
      <c r="S129" s="313"/>
      <c r="T129" s="313"/>
    </row>
    <row r="130" spans="2:20" ht="19.5" customHeight="1">
      <c r="B130" s="1807"/>
      <c r="C130" s="1674"/>
      <c r="D130" s="1700"/>
      <c r="E130" s="314"/>
      <c r="F130" s="318" t="s">
        <v>459</v>
      </c>
      <c r="G130" s="1448">
        <f>IF(G129=0,0,L127-G129)</f>
        <v>0</v>
      </c>
      <c r="H130" s="1449"/>
      <c r="I130" s="271" t="s">
        <v>452</v>
      </c>
      <c r="J130" s="1672"/>
      <c r="K130" s="1195"/>
      <c r="L130" s="1693"/>
      <c r="M130" s="1703"/>
      <c r="N130" s="1665" t="s">
        <v>479</v>
      </c>
      <c r="O130" s="1667">
        <f>O127/$L$49</f>
        <v>0</v>
      </c>
      <c r="P130" s="1194" t="s">
        <v>453</v>
      </c>
      <c r="Q130" s="320"/>
      <c r="R130" s="313"/>
      <c r="S130" s="313"/>
      <c r="T130" s="313"/>
    </row>
    <row r="131" spans="2:20" ht="19.5" customHeight="1">
      <c r="B131" s="1807"/>
      <c r="C131" s="1674"/>
      <c r="D131" s="1700"/>
      <c r="E131" s="331"/>
      <c r="F131" s="316"/>
      <c r="G131" s="316"/>
      <c r="H131" s="282"/>
      <c r="I131" s="332"/>
      <c r="J131" s="1006"/>
      <c r="K131" s="332"/>
      <c r="L131" s="334"/>
      <c r="M131" s="333"/>
      <c r="N131" s="1675"/>
      <c r="O131" s="1676"/>
      <c r="P131" s="1677"/>
      <c r="Q131" s="320"/>
      <c r="R131" s="313"/>
      <c r="S131" s="313"/>
      <c r="T131" s="313"/>
    </row>
    <row r="132" spans="2:20" ht="19.5" customHeight="1">
      <c r="B132" s="1807"/>
      <c r="C132" s="1674"/>
      <c r="D132" s="1700"/>
      <c r="E132" s="331"/>
      <c r="F132" s="312"/>
      <c r="G132" s="312"/>
      <c r="H132" s="285"/>
      <c r="I132" s="336"/>
      <c r="J132" s="1008"/>
      <c r="K132" s="336"/>
      <c r="L132" s="338"/>
      <c r="M132" s="337"/>
      <c r="N132" s="1665" t="s">
        <v>211</v>
      </c>
      <c r="O132" s="1667">
        <f>MAX(G114,O122,O130)</f>
        <v>0</v>
      </c>
      <c r="P132" s="1194" t="s">
        <v>453</v>
      </c>
      <c r="Q132" s="320"/>
      <c r="R132" s="313"/>
      <c r="S132" s="313"/>
      <c r="T132" s="313"/>
    </row>
    <row r="133" spans="2:20" ht="19.5" customHeight="1">
      <c r="B133" s="1807"/>
      <c r="C133" s="1674"/>
      <c r="D133" s="1700"/>
      <c r="E133" s="331"/>
      <c r="F133" s="312"/>
      <c r="G133" s="312"/>
      <c r="H133" s="285"/>
      <c r="I133" s="336"/>
      <c r="J133" s="1008"/>
      <c r="K133" s="336"/>
      <c r="L133" s="338"/>
      <c r="M133" s="337"/>
      <c r="N133" s="1675"/>
      <c r="O133" s="1676"/>
      <c r="P133" s="1677"/>
      <c r="Q133" s="320"/>
      <c r="R133" s="313"/>
      <c r="S133" s="313"/>
      <c r="T133" s="313"/>
    </row>
    <row r="134" spans="2:20" ht="19.5" customHeight="1">
      <c r="B134" s="1807"/>
      <c r="C134" s="1674"/>
      <c r="D134" s="1700"/>
      <c r="E134" s="331"/>
      <c r="F134" s="312"/>
      <c r="G134" s="312"/>
      <c r="H134" s="285"/>
      <c r="I134" s="336"/>
      <c r="J134" s="1008"/>
      <c r="K134" s="336"/>
      <c r="L134" s="338"/>
      <c r="M134" s="337"/>
      <c r="N134" s="1698"/>
      <c r="O134" s="1662"/>
      <c r="P134" s="1195"/>
      <c r="Q134" s="320"/>
      <c r="R134" s="313"/>
      <c r="S134" s="313"/>
      <c r="T134" s="313"/>
    </row>
    <row r="135" spans="2:20" ht="19.5" customHeight="1">
      <c r="B135" s="1807"/>
      <c r="C135" s="1674"/>
      <c r="D135" s="1700"/>
      <c r="E135" s="331"/>
      <c r="F135" s="312"/>
      <c r="G135" s="312"/>
      <c r="H135" s="285"/>
      <c r="I135" s="336"/>
      <c r="J135" s="1008"/>
      <c r="K135" s="336"/>
      <c r="L135" s="338"/>
      <c r="M135" s="337"/>
      <c r="N135" s="276" t="s">
        <v>485</v>
      </c>
      <c r="O135" s="285">
        <f>O132-O130</f>
        <v>0</v>
      </c>
      <c r="P135" s="299" t="s">
        <v>453</v>
      </c>
      <c r="Q135" s="320"/>
      <c r="R135" s="313"/>
      <c r="S135" s="313"/>
      <c r="T135" s="313"/>
    </row>
    <row r="136" spans="2:20" ht="19.5" customHeight="1">
      <c r="B136" s="1807"/>
      <c r="C136" s="1674"/>
      <c r="D136" s="1700"/>
      <c r="E136" s="331"/>
      <c r="F136" s="312"/>
      <c r="G136" s="312"/>
      <c r="H136" s="285"/>
      <c r="I136" s="336"/>
      <c r="J136" s="1008"/>
      <c r="K136" s="336"/>
      <c r="L136" s="338"/>
      <c r="M136" s="337"/>
      <c r="N136" s="1681" t="s">
        <v>125</v>
      </c>
      <c r="O136" s="1694" t="str">
        <f>IF(O130&gt;G109/L109,"OVER","INSIDE")</f>
        <v>INSIDE</v>
      </c>
      <c r="P136" s="1695"/>
      <c r="Q136" s="320"/>
      <c r="R136" s="313"/>
      <c r="S136" s="313"/>
      <c r="T136" s="313"/>
    </row>
    <row r="137" spans="2:20" ht="19.5" customHeight="1" thickBot="1">
      <c r="B137" s="1807"/>
      <c r="C137" s="1674"/>
      <c r="D137" s="1700"/>
      <c r="E137" s="331"/>
      <c r="F137" s="312"/>
      <c r="G137" s="312"/>
      <c r="H137" s="285"/>
      <c r="I137" s="336"/>
      <c r="J137" s="1008"/>
      <c r="K137" s="336"/>
      <c r="L137" s="338"/>
      <c r="M137" s="337"/>
      <c r="N137" s="1682"/>
      <c r="O137" s="1696"/>
      <c r="P137" s="1697"/>
      <c r="Q137" s="320"/>
      <c r="R137" s="313"/>
      <c r="S137" s="313"/>
      <c r="T137" s="313"/>
    </row>
    <row r="138" spans="2:20" ht="19.5" customHeight="1">
      <c r="B138" s="1807"/>
      <c r="C138" s="1674"/>
      <c r="D138" s="1700"/>
      <c r="E138" s="310"/>
      <c r="F138" s="340" t="s">
        <v>1</v>
      </c>
      <c r="G138" s="1450">
        <f>LEN(LEFT('記入シート'!D101,2))</f>
        <v>0</v>
      </c>
      <c r="H138" s="1451"/>
      <c r="I138" s="274" t="s">
        <v>452</v>
      </c>
      <c r="J138" s="1669" t="s">
        <v>345</v>
      </c>
      <c r="K138" s="1203">
        <f ca="1">CELL("row",'記入シート'!D101)</f>
        <v>101</v>
      </c>
      <c r="L138" s="1829">
        <v>2</v>
      </c>
      <c r="M138" s="1828">
        <f>M109</f>
        <v>135</v>
      </c>
      <c r="N138" s="1663" t="s">
        <v>8</v>
      </c>
      <c r="O138" s="1661">
        <f>IF(G138=0,0,1)</f>
        <v>0</v>
      </c>
      <c r="P138" s="1203" t="s">
        <v>453</v>
      </c>
      <c r="Q138" s="503" t="s">
        <v>6</v>
      </c>
      <c r="R138" s="313"/>
      <c r="S138" s="313"/>
      <c r="T138" s="313"/>
    </row>
    <row r="139" spans="2:20" ht="19.5" customHeight="1">
      <c r="B139" s="1807"/>
      <c r="C139" s="1674"/>
      <c r="D139" s="1700"/>
      <c r="E139" s="314"/>
      <c r="F139" s="315" t="s">
        <v>2</v>
      </c>
      <c r="G139" s="1448">
        <f>L138-G138</f>
        <v>2</v>
      </c>
      <c r="H139" s="1449"/>
      <c r="I139" s="222" t="s">
        <v>452</v>
      </c>
      <c r="J139" s="1670"/>
      <c r="K139" s="1195"/>
      <c r="L139" s="1690"/>
      <c r="M139" s="1819"/>
      <c r="N139" s="1664"/>
      <c r="O139" s="1662"/>
      <c r="P139" s="1195"/>
      <c r="Q139" s="986">
        <f>IF(G111=0,"",IF(O138=0,REPT("　",5*O140),CONCATENATE(REPT("　",G139),LEFT('記入シート'!D101,L138),"／",REPT("　",G141),LEFT('記入シート'!G101,L140),REPT("　",5*O140))))</f>
      </c>
      <c r="R139" s="313"/>
      <c r="S139" s="313"/>
      <c r="T139" s="313"/>
    </row>
    <row r="140" spans="2:20" ht="19.5" customHeight="1">
      <c r="B140" s="1807"/>
      <c r="C140" s="1674"/>
      <c r="D140" s="1700"/>
      <c r="E140" s="314"/>
      <c r="F140" s="315" t="s">
        <v>3</v>
      </c>
      <c r="G140" s="1448">
        <f>LEN(LEFT('記入シート'!G101,2))</f>
        <v>0</v>
      </c>
      <c r="H140" s="1449"/>
      <c r="I140" s="222" t="s">
        <v>452</v>
      </c>
      <c r="J140" s="1670" t="s">
        <v>346</v>
      </c>
      <c r="K140" s="1194">
        <f ca="1">CELL("row",'記入シート'!G101)</f>
        <v>101</v>
      </c>
      <c r="L140" s="1690">
        <v>2</v>
      </c>
      <c r="M140" s="1703">
        <f>M109</f>
        <v>135</v>
      </c>
      <c r="N140" s="352" t="s">
        <v>9</v>
      </c>
      <c r="O140" s="353">
        <f>IF(O132=0,0,O132-O138)</f>
        <v>0</v>
      </c>
      <c r="P140" s="319" t="s">
        <v>453</v>
      </c>
      <c r="Q140" s="987"/>
      <c r="R140" s="313"/>
      <c r="S140" s="313"/>
      <c r="T140" s="313"/>
    </row>
    <row r="141" spans="2:20" ht="19.5" customHeight="1">
      <c r="B141" s="1807"/>
      <c r="C141" s="1674"/>
      <c r="D141" s="1700"/>
      <c r="E141" s="317" t="s">
        <v>403</v>
      </c>
      <c r="F141" s="315" t="s">
        <v>461</v>
      </c>
      <c r="G141" s="1448">
        <f>L140-G140</f>
        <v>2</v>
      </c>
      <c r="H141" s="1449"/>
      <c r="I141" s="222" t="s">
        <v>452</v>
      </c>
      <c r="J141" s="1670"/>
      <c r="K141" s="1195"/>
      <c r="L141" s="1690"/>
      <c r="M141" s="1703"/>
      <c r="N141" s="284"/>
      <c r="O141" s="285"/>
      <c r="P141" s="286"/>
      <c r="Q141" s="988"/>
      <c r="R141" s="313"/>
      <c r="S141" s="313"/>
      <c r="T141" s="313"/>
    </row>
    <row r="142" spans="2:20" ht="19.5" customHeight="1">
      <c r="B142" s="1807"/>
      <c r="C142" s="1674"/>
      <c r="D142" s="1700"/>
      <c r="E142" s="317" t="s">
        <v>255</v>
      </c>
      <c r="F142" s="315" t="s">
        <v>4</v>
      </c>
      <c r="G142" s="1448">
        <f>LEN(LEFT('記入シート'!N101,2))</f>
        <v>0</v>
      </c>
      <c r="H142" s="1449"/>
      <c r="I142" s="222" t="s">
        <v>452</v>
      </c>
      <c r="J142" s="1670" t="s">
        <v>347</v>
      </c>
      <c r="K142" s="1194">
        <f ca="1">CELL("row",'記入シート'!N101)</f>
        <v>101</v>
      </c>
      <c r="L142" s="1690">
        <v>2</v>
      </c>
      <c r="M142" s="1703">
        <f>M109</f>
        <v>135</v>
      </c>
      <c r="N142" s="1833" t="s">
        <v>178</v>
      </c>
      <c r="O142" s="1667">
        <f>IF(G142=0,0,1)</f>
        <v>0</v>
      </c>
      <c r="P142" s="1194" t="s">
        <v>453</v>
      </c>
      <c r="Q142" s="503" t="s">
        <v>7</v>
      </c>
      <c r="R142" s="313"/>
      <c r="S142" s="313"/>
      <c r="T142" s="313"/>
    </row>
    <row r="143" spans="2:20" ht="19.5" customHeight="1">
      <c r="B143" s="1807"/>
      <c r="C143" s="1674"/>
      <c r="D143" s="1700"/>
      <c r="E143" s="314"/>
      <c r="F143" s="315" t="s">
        <v>5</v>
      </c>
      <c r="G143" s="1448">
        <f>L142-G142</f>
        <v>2</v>
      </c>
      <c r="H143" s="1449"/>
      <c r="I143" s="222" t="s">
        <v>452</v>
      </c>
      <c r="J143" s="1670"/>
      <c r="K143" s="1195"/>
      <c r="L143" s="1690"/>
      <c r="M143" s="1703"/>
      <c r="N143" s="1664"/>
      <c r="O143" s="1662"/>
      <c r="P143" s="1195"/>
      <c r="Q143" s="986">
        <f>IF(G111=0,"",IF(O142=0,REPT("　",5*O144),CONCATENATE(REPT("　",G143),LEFT('記入シート'!N101,L142),"／",REPT("　",G145),LEFT('記入シート'!Q101,L144),REPT("　",5*O144))))</f>
      </c>
      <c r="R143" s="313"/>
      <c r="S143" s="313"/>
      <c r="T143" s="313"/>
    </row>
    <row r="144" spans="2:20" ht="19.5" customHeight="1">
      <c r="B144" s="1807"/>
      <c r="C144" s="1674"/>
      <c r="D144" s="1700"/>
      <c r="E144" s="314"/>
      <c r="F144" s="315" t="s">
        <v>462</v>
      </c>
      <c r="G144" s="1448">
        <f>LEN(LEFT('記入シート'!Q101,2))</f>
        <v>0</v>
      </c>
      <c r="H144" s="1449"/>
      <c r="I144" s="222" t="s">
        <v>452</v>
      </c>
      <c r="J144" s="1670" t="s">
        <v>348</v>
      </c>
      <c r="K144" s="1194">
        <f ca="1">CELL("row",'記入シート'!Q101)</f>
        <v>101</v>
      </c>
      <c r="L144" s="1690">
        <v>2</v>
      </c>
      <c r="M144" s="1703">
        <f>M109</f>
        <v>135</v>
      </c>
      <c r="N144" s="352" t="s">
        <v>179</v>
      </c>
      <c r="O144" s="353">
        <f>IF(O132=0,0,O132-O142)</f>
        <v>0</v>
      </c>
      <c r="P144" s="319" t="s">
        <v>453</v>
      </c>
      <c r="Q144" s="987"/>
      <c r="R144" s="313"/>
      <c r="S144" s="313"/>
      <c r="T144" s="313"/>
    </row>
    <row r="145" spans="2:20" ht="19.5" customHeight="1" thickBot="1">
      <c r="B145" s="1807"/>
      <c r="C145" s="1674"/>
      <c r="D145" s="1700"/>
      <c r="E145" s="659"/>
      <c r="F145" s="315" t="s">
        <v>463</v>
      </c>
      <c r="G145" s="1496">
        <f>L144-G144</f>
        <v>2</v>
      </c>
      <c r="H145" s="1497"/>
      <c r="I145" s="222" t="s">
        <v>452</v>
      </c>
      <c r="J145" s="1687"/>
      <c r="K145" s="1196"/>
      <c r="L145" s="1809"/>
      <c r="M145" s="1819"/>
      <c r="N145" s="284"/>
      <c r="O145" s="285"/>
      <c r="P145" s="286"/>
      <c r="Q145" s="989"/>
      <c r="R145" s="313"/>
      <c r="S145" s="313"/>
      <c r="T145" s="313"/>
    </row>
    <row r="146" spans="2:20" ht="19.5" customHeight="1">
      <c r="B146" s="1807"/>
      <c r="C146" s="1674"/>
      <c r="D146" s="1700"/>
      <c r="E146" s="660" t="s">
        <v>404</v>
      </c>
      <c r="F146" s="329" t="s">
        <v>420</v>
      </c>
      <c r="G146" s="1450">
        <f>IF('記入シート'!C104=0,0,1)</f>
        <v>0</v>
      </c>
      <c r="H146" s="1451"/>
      <c r="I146" s="274" t="s">
        <v>452</v>
      </c>
      <c r="J146" s="1688" t="s">
        <v>349</v>
      </c>
      <c r="K146" s="1197">
        <f ca="1">CELL("row",'記入シート'!C104)</f>
        <v>104</v>
      </c>
      <c r="L146" s="1691">
        <f>$L$66</f>
        <v>1</v>
      </c>
      <c r="M146" s="1705">
        <f>M109</f>
        <v>135</v>
      </c>
      <c r="N146" s="1663" t="s">
        <v>10</v>
      </c>
      <c r="O146" s="1661">
        <f>IF(G146=0,0,1)</f>
        <v>0</v>
      </c>
      <c r="P146" s="1203" t="s">
        <v>453</v>
      </c>
      <c r="Q146" s="639">
        <f>IF(G111=0,"",CONCATENATE(LEFT('記入シート'!C104,1),REPT("　",O148)))</f>
      </c>
      <c r="R146" s="313"/>
      <c r="S146" s="313"/>
      <c r="T146" s="313"/>
    </row>
    <row r="147" spans="2:20" ht="19.5" customHeight="1">
      <c r="B147" s="1807"/>
      <c r="C147" s="1674"/>
      <c r="D147" s="1700"/>
      <c r="E147" s="317" t="s">
        <v>255</v>
      </c>
      <c r="F147" s="315" t="s">
        <v>460</v>
      </c>
      <c r="G147" s="1448">
        <f>L146-G146</f>
        <v>1</v>
      </c>
      <c r="H147" s="1449"/>
      <c r="I147" s="222" t="s">
        <v>452</v>
      </c>
      <c r="J147" s="1689"/>
      <c r="K147" s="1198"/>
      <c r="L147" s="1692"/>
      <c r="M147" s="1706"/>
      <c r="N147" s="1664"/>
      <c r="O147" s="1662"/>
      <c r="P147" s="1195"/>
      <c r="Q147" s="320"/>
      <c r="R147" s="313"/>
      <c r="S147" s="313"/>
      <c r="T147" s="313"/>
    </row>
    <row r="148" spans="2:20" ht="19.5" customHeight="1" thickBot="1">
      <c r="B148" s="1808"/>
      <c r="C148" s="1825"/>
      <c r="D148" s="1826"/>
      <c r="E148" s="343"/>
      <c r="F148" s="354" t="s">
        <v>158</v>
      </c>
      <c r="G148" s="355" t="s">
        <v>159</v>
      </c>
      <c r="H148" s="356">
        <f>WIDECHAR('記入シート'!C104)</f>
      </c>
      <c r="I148" s="357" t="s">
        <v>160</v>
      </c>
      <c r="J148" s="1810"/>
      <c r="K148" s="1199"/>
      <c r="L148" s="1811"/>
      <c r="M148" s="1827"/>
      <c r="N148" s="358" t="s">
        <v>486</v>
      </c>
      <c r="O148" s="359">
        <f>IF(O132=0,0,O132-O146)</f>
        <v>0</v>
      </c>
      <c r="P148" s="360" t="s">
        <v>453</v>
      </c>
      <c r="Q148" s="361"/>
      <c r="R148" s="362"/>
      <c r="S148" s="362"/>
      <c r="T148" s="362"/>
    </row>
    <row r="149" spans="2:20" ht="19.5" customHeight="1" thickTop="1">
      <c r="B149" s="1673" t="s">
        <v>105</v>
      </c>
      <c r="C149" s="1673" t="s">
        <v>400</v>
      </c>
      <c r="D149" s="1699" t="s">
        <v>98</v>
      </c>
      <c r="E149" s="344" t="s">
        <v>437</v>
      </c>
      <c r="F149" s="345"/>
      <c r="G149" s="1717">
        <f>G109-G116-O109*L109</f>
        <v>2565</v>
      </c>
      <c r="H149" s="1718"/>
      <c r="I149" s="345" t="s">
        <v>452</v>
      </c>
      <c r="J149" s="1715" t="s">
        <v>349</v>
      </c>
      <c r="K149" s="1200">
        <f ca="1">CELL("row",'記入シート'!C109)</f>
        <v>109</v>
      </c>
      <c r="L149" s="1820">
        <f>$L$32</f>
        <v>19</v>
      </c>
      <c r="M149" s="1701">
        <f>G149/L149</f>
        <v>135</v>
      </c>
      <c r="N149" s="1817" t="s">
        <v>144</v>
      </c>
      <c r="O149" s="1818">
        <f>O172-G154</f>
        <v>0</v>
      </c>
      <c r="P149" s="1873" t="s">
        <v>453</v>
      </c>
      <c r="Q149" s="1263">
        <f>IF(G151=0,"",IF(G236=0,"",CONCATENATE("④　",'記入シート'!C109,REPT("　",O149*L149+ABS(G155)))))</f>
      </c>
      <c r="R149" s="1264"/>
      <c r="S149" s="1264"/>
      <c r="T149" s="1710"/>
    </row>
    <row r="150" spans="2:20" ht="19.5" customHeight="1">
      <c r="B150" s="1674"/>
      <c r="C150" s="1674"/>
      <c r="D150" s="1700"/>
      <c r="E150" s="297" t="s">
        <v>137</v>
      </c>
      <c r="F150" s="298"/>
      <c r="G150" s="1206">
        <f>IF(G149&gt;2,G149-2,0)</f>
        <v>2563</v>
      </c>
      <c r="H150" s="1207"/>
      <c r="I150" s="796" t="s">
        <v>452</v>
      </c>
      <c r="J150" s="1689"/>
      <c r="K150" s="1198"/>
      <c r="L150" s="1692"/>
      <c r="M150" s="1702"/>
      <c r="N150" s="1675"/>
      <c r="O150" s="1676"/>
      <c r="P150" s="1677"/>
      <c r="Q150" s="1266"/>
      <c r="R150" s="1267"/>
      <c r="S150" s="1267"/>
      <c r="T150" s="1711"/>
    </row>
    <row r="151" spans="2:20" ht="19.5" customHeight="1">
      <c r="B151" s="1674"/>
      <c r="C151" s="1674"/>
      <c r="D151" s="1700"/>
      <c r="E151" s="300" t="s">
        <v>152</v>
      </c>
      <c r="F151" s="301"/>
      <c r="G151" s="1448">
        <f>LEN('記入シート'!C109)</f>
        <v>0</v>
      </c>
      <c r="H151" s="1449"/>
      <c r="I151" s="298" t="s">
        <v>452</v>
      </c>
      <c r="J151" s="1689"/>
      <c r="K151" s="1198"/>
      <c r="L151" s="1692"/>
      <c r="M151" s="1703"/>
      <c r="N151" s="1698"/>
      <c r="O151" s="1662"/>
      <c r="P151" s="1195"/>
      <c r="Q151" s="1266"/>
      <c r="R151" s="1267"/>
      <c r="S151" s="1267"/>
      <c r="T151" s="1711"/>
    </row>
    <row r="152" spans="2:20" ht="19.5" customHeight="1">
      <c r="B152" s="1674"/>
      <c r="C152" s="1674"/>
      <c r="D152" s="1700"/>
      <c r="E152" s="300" t="s">
        <v>167</v>
      </c>
      <c r="F152" s="301"/>
      <c r="G152" s="1110" t="str">
        <f>IF(G151&gt;G150,"OVER","INSIDE")</f>
        <v>INSIDE</v>
      </c>
      <c r="H152" s="1111"/>
      <c r="I152" s="1112"/>
      <c r="J152" s="1689"/>
      <c r="K152" s="1198"/>
      <c r="L152" s="1692"/>
      <c r="M152" s="1703"/>
      <c r="N152" s="303"/>
      <c r="O152" s="285"/>
      <c r="P152" s="286"/>
      <c r="Q152" s="1266"/>
      <c r="R152" s="1267"/>
      <c r="S152" s="1267"/>
      <c r="T152" s="1711"/>
    </row>
    <row r="153" spans="2:20" ht="19.5" customHeight="1">
      <c r="B153" s="1674"/>
      <c r="C153" s="1674"/>
      <c r="D153" s="1700"/>
      <c r="E153" s="300" t="s">
        <v>156</v>
      </c>
      <c r="F153" s="301"/>
      <c r="G153" s="1452">
        <f>IF(G151=0,0,IF(G152="OVER",0,G151+2))</f>
        <v>0</v>
      </c>
      <c r="H153" s="1453"/>
      <c r="I153" s="298" t="s">
        <v>452</v>
      </c>
      <c r="J153" s="1689"/>
      <c r="K153" s="1198"/>
      <c r="L153" s="1692"/>
      <c r="M153" s="1703"/>
      <c r="N153" s="303"/>
      <c r="O153" s="285"/>
      <c r="P153" s="286"/>
      <c r="Q153" s="1266"/>
      <c r="R153" s="1267"/>
      <c r="S153" s="1267"/>
      <c r="T153" s="1711"/>
    </row>
    <row r="154" spans="2:20" ht="19.5" customHeight="1">
      <c r="B154" s="1674"/>
      <c r="C154" s="1674"/>
      <c r="D154" s="1700"/>
      <c r="E154" s="304" t="s">
        <v>451</v>
      </c>
      <c r="F154" s="305"/>
      <c r="G154" s="1452">
        <f>ROUNDUP(G153/L149,0)</f>
        <v>0</v>
      </c>
      <c r="H154" s="1453"/>
      <c r="I154" s="298" t="s">
        <v>453</v>
      </c>
      <c r="J154" s="1689"/>
      <c r="K154" s="1198"/>
      <c r="L154" s="1692"/>
      <c r="M154" s="1703"/>
      <c r="N154" s="303"/>
      <c r="O154" s="285"/>
      <c r="P154" s="286"/>
      <c r="Q154" s="1266"/>
      <c r="R154" s="1267"/>
      <c r="S154" s="1267"/>
      <c r="T154" s="1711"/>
    </row>
    <row r="155" spans="2:20" ht="19.5" customHeight="1">
      <c r="B155" s="1674"/>
      <c r="C155" s="1674"/>
      <c r="D155" s="1700"/>
      <c r="E155" s="304" t="s">
        <v>419</v>
      </c>
      <c r="F155" s="305"/>
      <c r="G155" s="1452">
        <f>G153-G154*L149</f>
        <v>0</v>
      </c>
      <c r="H155" s="1453"/>
      <c r="I155" s="298" t="s">
        <v>452</v>
      </c>
      <c r="J155" s="1689"/>
      <c r="K155" s="1198"/>
      <c r="L155" s="1692"/>
      <c r="M155" s="1703"/>
      <c r="N155" s="303"/>
      <c r="O155" s="285"/>
      <c r="P155" s="286"/>
      <c r="Q155" s="1266"/>
      <c r="R155" s="1267"/>
      <c r="S155" s="1267"/>
      <c r="T155" s="1711"/>
    </row>
    <row r="156" spans="2:20" ht="19.5" customHeight="1" thickBot="1">
      <c r="B156" s="1674"/>
      <c r="C156" s="1674"/>
      <c r="D156" s="1700"/>
      <c r="E156" s="306" t="s">
        <v>423</v>
      </c>
      <c r="F156" s="307"/>
      <c r="G156" s="1713">
        <f>G154*L149</f>
        <v>0</v>
      </c>
      <c r="H156" s="1714"/>
      <c r="I156" s="308" t="s">
        <v>452</v>
      </c>
      <c r="J156" s="1716"/>
      <c r="K156" s="1201"/>
      <c r="L156" s="1821"/>
      <c r="M156" s="1704"/>
      <c r="N156" s="309"/>
      <c r="O156" s="292"/>
      <c r="P156" s="293"/>
      <c r="Q156" s="1269"/>
      <c r="R156" s="1270"/>
      <c r="S156" s="1270"/>
      <c r="T156" s="1712"/>
    </row>
    <row r="157" spans="2:20" ht="19.5" customHeight="1">
      <c r="B157" s="1674"/>
      <c r="C157" s="1674"/>
      <c r="D157" s="1700"/>
      <c r="E157" s="310"/>
      <c r="F157" s="801" t="s">
        <v>455</v>
      </c>
      <c r="G157" s="1450">
        <f>LEN(LEFT('記入シート'!C113,L157))</f>
        <v>0</v>
      </c>
      <c r="H157" s="1451"/>
      <c r="I157" s="274" t="s">
        <v>452</v>
      </c>
      <c r="J157" s="1669" t="s">
        <v>350</v>
      </c>
      <c r="K157" s="1197">
        <f ca="1">CELL("row",'記入シート'!C113)</f>
        <v>113</v>
      </c>
      <c r="L157" s="1691">
        <f>$L$40</f>
        <v>6</v>
      </c>
      <c r="M157" s="1705">
        <f>M149</f>
        <v>135</v>
      </c>
      <c r="N157" s="1678" t="s">
        <v>474</v>
      </c>
      <c r="O157" s="1676">
        <f>SUM(G157:H164)</f>
        <v>0</v>
      </c>
      <c r="P157" s="1708" t="s">
        <v>452</v>
      </c>
      <c r="Q157" s="1554">
        <f>IF(O162=0,REPT("　",O172*L157),CONCATENATE(LEFT('記入シート'!C113,L157),REPT("　",G158),LEFT('記入シート'!C114,L157),REPT("　",G160),LEFT('記入シート'!C115,L157),REPT("　",G162),LEFT('記入シート'!C116,L157),REPT("　",G164),REPT("　",L157*O164)))</f>
      </c>
      <c r="R157" s="363"/>
      <c r="S157" s="364"/>
      <c r="T157" s="364"/>
    </row>
    <row r="158" spans="2:20" ht="19.5" customHeight="1">
      <c r="B158" s="1674"/>
      <c r="C158" s="1674"/>
      <c r="D158" s="1700"/>
      <c r="E158" s="314"/>
      <c r="F158" s="802" t="s">
        <v>458</v>
      </c>
      <c r="G158" s="1448">
        <f>IF(G157=0,0,L157-G157)</f>
        <v>0</v>
      </c>
      <c r="H158" s="1449"/>
      <c r="I158" s="222" t="s">
        <v>452</v>
      </c>
      <c r="J158" s="1670"/>
      <c r="K158" s="1198"/>
      <c r="L158" s="1692"/>
      <c r="M158" s="1706"/>
      <c r="N158" s="1679"/>
      <c r="O158" s="1676"/>
      <c r="P158" s="1708"/>
      <c r="Q158" s="1554"/>
      <c r="R158" s="365"/>
      <c r="S158" s="313"/>
      <c r="T158" s="313"/>
    </row>
    <row r="159" spans="2:20" ht="19.5" customHeight="1">
      <c r="B159" s="1674"/>
      <c r="C159" s="1674"/>
      <c r="D159" s="1700"/>
      <c r="E159" s="314"/>
      <c r="F159" s="802" t="s">
        <v>456</v>
      </c>
      <c r="G159" s="1448">
        <f>LEN(LEFT('記入シート'!C114,L157))</f>
        <v>0</v>
      </c>
      <c r="H159" s="1449"/>
      <c r="I159" s="222" t="s">
        <v>452</v>
      </c>
      <c r="J159" s="1670" t="s">
        <v>350</v>
      </c>
      <c r="K159" s="1202">
        <f ca="1">CELL("row",'記入シート'!C114)</f>
        <v>114</v>
      </c>
      <c r="L159" s="1692"/>
      <c r="M159" s="1706"/>
      <c r="N159" s="1679"/>
      <c r="O159" s="1676"/>
      <c r="P159" s="1708"/>
      <c r="Q159" s="1554"/>
      <c r="R159" s="313"/>
      <c r="S159" s="313"/>
      <c r="T159" s="313"/>
    </row>
    <row r="160" spans="2:20" ht="19.5" customHeight="1">
      <c r="B160" s="1674"/>
      <c r="C160" s="1674"/>
      <c r="D160" s="1700"/>
      <c r="E160" s="317" t="s">
        <v>401</v>
      </c>
      <c r="F160" s="802" t="s">
        <v>459</v>
      </c>
      <c r="G160" s="1448">
        <f>IF(G159=0,0,L157-G159)</f>
        <v>0</v>
      </c>
      <c r="H160" s="1449"/>
      <c r="I160" s="222" t="s">
        <v>452</v>
      </c>
      <c r="J160" s="1670"/>
      <c r="K160" s="1202"/>
      <c r="L160" s="1692"/>
      <c r="M160" s="1706"/>
      <c r="N160" s="1679"/>
      <c r="O160" s="1676"/>
      <c r="P160" s="1708"/>
      <c r="Q160" s="1549"/>
      <c r="R160" s="313"/>
      <c r="S160" s="313"/>
      <c r="T160" s="313"/>
    </row>
    <row r="161" spans="2:20" ht="19.5" customHeight="1">
      <c r="B161" s="1674"/>
      <c r="C161" s="1674"/>
      <c r="D161" s="1700"/>
      <c r="E161" s="317" t="s">
        <v>256</v>
      </c>
      <c r="F161" s="330" t="s">
        <v>475</v>
      </c>
      <c r="G161" s="1448">
        <f>LEN(LEFT('記入シート'!C115,L157))</f>
        <v>0</v>
      </c>
      <c r="H161" s="1449"/>
      <c r="I161" s="222" t="s">
        <v>452</v>
      </c>
      <c r="J161" s="1671" t="s">
        <v>350</v>
      </c>
      <c r="K161" s="1202">
        <f ca="1">CELL("row",'記入シート'!C115)</f>
        <v>115</v>
      </c>
      <c r="L161" s="1692"/>
      <c r="M161" s="1706"/>
      <c r="N161" s="1680"/>
      <c r="O161" s="1662"/>
      <c r="P161" s="1709"/>
      <c r="Q161" s="320"/>
      <c r="R161" s="313"/>
      <c r="S161" s="313"/>
      <c r="T161" s="313"/>
    </row>
    <row r="162" spans="2:20" ht="19.5" customHeight="1">
      <c r="B162" s="1674"/>
      <c r="C162" s="1674"/>
      <c r="D162" s="1700"/>
      <c r="E162" s="314"/>
      <c r="F162" s="330" t="s">
        <v>476</v>
      </c>
      <c r="G162" s="1448">
        <f>IF(G161=0,0,L157-G161)</f>
        <v>0</v>
      </c>
      <c r="H162" s="1449"/>
      <c r="I162" s="222" t="s">
        <v>452</v>
      </c>
      <c r="J162" s="1672"/>
      <c r="K162" s="1202"/>
      <c r="L162" s="1692"/>
      <c r="M162" s="1706"/>
      <c r="N162" s="1665" t="s">
        <v>480</v>
      </c>
      <c r="O162" s="1667">
        <f>O157/$L$40</f>
        <v>0</v>
      </c>
      <c r="P162" s="1194" t="s">
        <v>453</v>
      </c>
      <c r="Q162" s="320"/>
      <c r="R162" s="313"/>
      <c r="S162" s="313"/>
      <c r="T162" s="313"/>
    </row>
    <row r="163" spans="2:20" ht="19.5" customHeight="1">
      <c r="B163" s="1674"/>
      <c r="C163" s="1674"/>
      <c r="D163" s="1700"/>
      <c r="E163" s="314"/>
      <c r="F163" s="330" t="s">
        <v>477</v>
      </c>
      <c r="G163" s="1448">
        <f>LEN(LEFT('記入シート'!C116,L157))</f>
        <v>0</v>
      </c>
      <c r="H163" s="1449"/>
      <c r="I163" s="222" t="s">
        <v>452</v>
      </c>
      <c r="J163" s="1671" t="s">
        <v>350</v>
      </c>
      <c r="K163" s="1202">
        <f ca="1">CELL("row",'記入シート'!C116)</f>
        <v>116</v>
      </c>
      <c r="L163" s="1692"/>
      <c r="M163" s="1706"/>
      <c r="N163" s="1698"/>
      <c r="O163" s="1662"/>
      <c r="P163" s="1195"/>
      <c r="Q163" s="320"/>
      <c r="R163" s="313"/>
      <c r="S163" s="313"/>
      <c r="T163" s="313"/>
    </row>
    <row r="164" spans="2:20" ht="19.5" customHeight="1">
      <c r="B164" s="1674"/>
      <c r="C164" s="1674"/>
      <c r="D164" s="1700"/>
      <c r="E164" s="314"/>
      <c r="F164" s="330" t="s">
        <v>478</v>
      </c>
      <c r="G164" s="1448">
        <f>IF(G163=0,0,L157-G163)</f>
        <v>0</v>
      </c>
      <c r="H164" s="1449"/>
      <c r="I164" s="271" t="s">
        <v>452</v>
      </c>
      <c r="J164" s="1672"/>
      <c r="K164" s="1202"/>
      <c r="L164" s="1693"/>
      <c r="M164" s="1707"/>
      <c r="N164" s="276" t="s">
        <v>252</v>
      </c>
      <c r="O164" s="794">
        <f>O172-O162</f>
        <v>0</v>
      </c>
      <c r="P164" s="222" t="s">
        <v>453</v>
      </c>
      <c r="Q164" s="320"/>
      <c r="R164" s="313"/>
      <c r="S164" s="313"/>
      <c r="T164" s="313"/>
    </row>
    <row r="165" spans="2:20" ht="19.5" customHeight="1">
      <c r="B165" s="1674"/>
      <c r="C165" s="1674"/>
      <c r="D165" s="1700"/>
      <c r="E165" s="331"/>
      <c r="F165" s="312"/>
      <c r="G165" s="312"/>
      <c r="H165" s="285"/>
      <c r="I165" s="336"/>
      <c r="J165" s="1008"/>
      <c r="K165" s="1020"/>
      <c r="L165" s="338"/>
      <c r="M165" s="339"/>
      <c r="N165" s="1904" t="s">
        <v>124</v>
      </c>
      <c r="O165" s="1694" t="str">
        <f>IF(O162&gt;G149/L149,"OVER","INSIDE")</f>
        <v>INSIDE</v>
      </c>
      <c r="P165" s="1695"/>
      <c r="Q165" s="320"/>
      <c r="R165" s="313"/>
      <c r="S165" s="313"/>
      <c r="T165" s="313"/>
    </row>
    <row r="166" spans="2:20" ht="19.5" customHeight="1" thickBot="1">
      <c r="B166" s="1674"/>
      <c r="C166" s="1674"/>
      <c r="D166" s="1700"/>
      <c r="E166" s="321"/>
      <c r="F166" s="348"/>
      <c r="G166" s="348"/>
      <c r="H166" s="292"/>
      <c r="I166" s="349"/>
      <c r="J166" s="1007"/>
      <c r="K166" s="1021"/>
      <c r="L166" s="350"/>
      <c r="M166" s="351"/>
      <c r="N166" s="1905"/>
      <c r="O166" s="1696"/>
      <c r="P166" s="1697"/>
      <c r="Q166" s="320"/>
      <c r="R166" s="313"/>
      <c r="S166" s="313"/>
      <c r="T166" s="313"/>
    </row>
    <row r="167" spans="2:20" ht="19.5" customHeight="1">
      <c r="B167" s="1674"/>
      <c r="C167" s="1674"/>
      <c r="D167" s="1700"/>
      <c r="E167" s="310"/>
      <c r="F167" s="329" t="s">
        <v>455</v>
      </c>
      <c r="G167" s="1450">
        <f>LEN(LEFT('記入シート'!C119,L167))</f>
        <v>0</v>
      </c>
      <c r="H167" s="1451"/>
      <c r="I167" s="274" t="s">
        <v>452</v>
      </c>
      <c r="J167" s="1669" t="s">
        <v>350</v>
      </c>
      <c r="K167" s="1197">
        <f ca="1">CELL("row",'記入シート'!C119)</f>
        <v>119</v>
      </c>
      <c r="L167" s="1691">
        <f>$L$49</f>
        <v>6</v>
      </c>
      <c r="M167" s="1828">
        <f>M149</f>
        <v>135</v>
      </c>
      <c r="N167" s="1678" t="s">
        <v>484</v>
      </c>
      <c r="O167" s="1661">
        <f>SUM(G167:H170)</f>
        <v>0</v>
      </c>
      <c r="P167" s="1203" t="s">
        <v>452</v>
      </c>
      <c r="Q167" s="1548">
        <f>IF(O170=0,REPT("　",O172*L167),CONCATENATE(LEFT('記入シート'!C119,L167),REPT("　",G168),LEFT('記入シート'!C120,L167),REPT("　",G170),REPT("　",L167*O175)))</f>
      </c>
      <c r="R167" s="313"/>
      <c r="S167" s="313"/>
      <c r="T167" s="313"/>
    </row>
    <row r="168" spans="2:20" ht="19.5" customHeight="1">
      <c r="B168" s="1674"/>
      <c r="C168" s="1674"/>
      <c r="D168" s="1700"/>
      <c r="E168" s="317" t="s">
        <v>402</v>
      </c>
      <c r="F168" s="315" t="s">
        <v>458</v>
      </c>
      <c r="G168" s="1448">
        <f>IF(G167=0,0,L167-G167)</f>
        <v>0</v>
      </c>
      <c r="H168" s="1449"/>
      <c r="I168" s="222" t="s">
        <v>452</v>
      </c>
      <c r="J168" s="1670"/>
      <c r="K168" s="1198"/>
      <c r="L168" s="1692"/>
      <c r="M168" s="1703"/>
      <c r="N168" s="1679"/>
      <c r="O168" s="1676"/>
      <c r="P168" s="1677"/>
      <c r="Q168" s="1549"/>
      <c r="R168" s="313"/>
      <c r="S168" s="313"/>
      <c r="T168" s="313"/>
    </row>
    <row r="169" spans="2:20" ht="19.5" customHeight="1">
      <c r="B169" s="1674"/>
      <c r="C169" s="1674"/>
      <c r="D169" s="1700"/>
      <c r="E169" s="317" t="s">
        <v>256</v>
      </c>
      <c r="F169" s="315" t="s">
        <v>456</v>
      </c>
      <c r="G169" s="1448">
        <f>LEN(LEFT('記入シート'!C120,L167))</f>
        <v>0</v>
      </c>
      <c r="H169" s="1449"/>
      <c r="I169" s="222" t="s">
        <v>452</v>
      </c>
      <c r="J169" s="1671" t="s">
        <v>350</v>
      </c>
      <c r="K169" s="1194">
        <f ca="1">CELL("row",'記入シート'!C120)</f>
        <v>120</v>
      </c>
      <c r="L169" s="1692"/>
      <c r="M169" s="1703"/>
      <c r="N169" s="1680"/>
      <c r="O169" s="1662"/>
      <c r="P169" s="1195"/>
      <c r="Q169" s="320"/>
      <c r="R169" s="313"/>
      <c r="S169" s="313"/>
      <c r="T169" s="313"/>
    </row>
    <row r="170" spans="2:20" ht="19.5" customHeight="1">
      <c r="B170" s="1674"/>
      <c r="C170" s="1674"/>
      <c r="D170" s="1700"/>
      <c r="E170" s="314"/>
      <c r="F170" s="318" t="s">
        <v>459</v>
      </c>
      <c r="G170" s="1448">
        <f>IF(G169=0,0,L167-G169)</f>
        <v>0</v>
      </c>
      <c r="H170" s="1449"/>
      <c r="I170" s="271" t="s">
        <v>452</v>
      </c>
      <c r="J170" s="1672"/>
      <c r="K170" s="1195"/>
      <c r="L170" s="1693"/>
      <c r="M170" s="1703"/>
      <c r="N170" s="1665" t="s">
        <v>479</v>
      </c>
      <c r="O170" s="1667">
        <f>O167/$L$49</f>
        <v>0</v>
      </c>
      <c r="P170" s="1194" t="s">
        <v>453</v>
      </c>
      <c r="Q170" s="320"/>
      <c r="R170" s="313"/>
      <c r="S170" s="313"/>
      <c r="T170" s="313"/>
    </row>
    <row r="171" spans="2:20" ht="19.5" customHeight="1">
      <c r="B171" s="1674"/>
      <c r="C171" s="1674"/>
      <c r="D171" s="1700"/>
      <c r="E171" s="331"/>
      <c r="F171" s="316"/>
      <c r="G171" s="316"/>
      <c r="H171" s="282"/>
      <c r="I171" s="332"/>
      <c r="J171" s="1006"/>
      <c r="K171" s="332"/>
      <c r="L171" s="334"/>
      <c r="M171" s="333"/>
      <c r="N171" s="1675"/>
      <c r="O171" s="1676"/>
      <c r="P171" s="1677"/>
      <c r="Q171" s="320"/>
      <c r="R171" s="313"/>
      <c r="S171" s="313"/>
      <c r="T171" s="313"/>
    </row>
    <row r="172" spans="2:20" ht="19.5" customHeight="1">
      <c r="B172" s="1674"/>
      <c r="C172" s="1674"/>
      <c r="D172" s="1700"/>
      <c r="E172" s="331"/>
      <c r="F172" s="312"/>
      <c r="G172" s="312"/>
      <c r="H172" s="285"/>
      <c r="I172" s="336"/>
      <c r="J172" s="1008"/>
      <c r="K172" s="336"/>
      <c r="L172" s="338"/>
      <c r="M172" s="337"/>
      <c r="N172" s="1665" t="s">
        <v>483</v>
      </c>
      <c r="O172" s="1667">
        <f>MAX(G154,O162,O170)</f>
        <v>0</v>
      </c>
      <c r="P172" s="1194" t="s">
        <v>453</v>
      </c>
      <c r="Q172" s="320"/>
      <c r="R172" s="313"/>
      <c r="S172" s="313"/>
      <c r="T172" s="313"/>
    </row>
    <row r="173" spans="2:20" ht="19.5" customHeight="1">
      <c r="B173" s="1674"/>
      <c r="C173" s="1674"/>
      <c r="D173" s="1700"/>
      <c r="E173" s="331"/>
      <c r="F173" s="312"/>
      <c r="G173" s="312"/>
      <c r="H173" s="285"/>
      <c r="I173" s="336"/>
      <c r="J173" s="1008"/>
      <c r="K173" s="336"/>
      <c r="L173" s="338"/>
      <c r="M173" s="337"/>
      <c r="N173" s="1675"/>
      <c r="O173" s="1676"/>
      <c r="P173" s="1677"/>
      <c r="Q173" s="320"/>
      <c r="R173" s="313"/>
      <c r="S173" s="313"/>
      <c r="T173" s="313"/>
    </row>
    <row r="174" spans="2:20" ht="19.5" customHeight="1">
      <c r="B174" s="1674"/>
      <c r="C174" s="1674"/>
      <c r="D174" s="1700"/>
      <c r="E174" s="331"/>
      <c r="F174" s="312"/>
      <c r="G174" s="312"/>
      <c r="H174" s="285"/>
      <c r="I174" s="336"/>
      <c r="J174" s="1008"/>
      <c r="K174" s="336"/>
      <c r="L174" s="338"/>
      <c r="M174" s="337"/>
      <c r="N174" s="1698"/>
      <c r="O174" s="1662"/>
      <c r="P174" s="1195"/>
      <c r="Q174" s="320"/>
      <c r="R174" s="313"/>
      <c r="S174" s="313"/>
      <c r="T174" s="313"/>
    </row>
    <row r="175" spans="2:20" ht="19.5" customHeight="1">
      <c r="B175" s="1674"/>
      <c r="C175" s="1674"/>
      <c r="D175" s="1700"/>
      <c r="E175" s="331"/>
      <c r="F175" s="312"/>
      <c r="G175" s="312"/>
      <c r="H175" s="285"/>
      <c r="I175" s="336"/>
      <c r="J175" s="1008"/>
      <c r="K175" s="336"/>
      <c r="L175" s="338"/>
      <c r="M175" s="337"/>
      <c r="N175" s="276" t="s">
        <v>145</v>
      </c>
      <c r="O175" s="794">
        <f>O172-O170</f>
        <v>0</v>
      </c>
      <c r="P175" s="222" t="s">
        <v>453</v>
      </c>
      <c r="Q175" s="320"/>
      <c r="R175" s="313"/>
      <c r="S175" s="313"/>
      <c r="T175" s="313"/>
    </row>
    <row r="176" spans="2:20" ht="19.5" customHeight="1">
      <c r="B176" s="1674"/>
      <c r="C176" s="1674"/>
      <c r="D176" s="1700"/>
      <c r="E176" s="331"/>
      <c r="F176" s="312"/>
      <c r="G176" s="312"/>
      <c r="H176" s="285"/>
      <c r="I176" s="336"/>
      <c r="J176" s="1008"/>
      <c r="K176" s="336"/>
      <c r="L176" s="338"/>
      <c r="M176" s="339"/>
      <c r="N176" s="1681" t="s">
        <v>125</v>
      </c>
      <c r="O176" s="1694" t="str">
        <f>IF(O170&gt;G149/L149,"OVER","INSIDE")</f>
        <v>INSIDE</v>
      </c>
      <c r="P176" s="1695"/>
      <c r="Q176" s="320"/>
      <c r="R176" s="313"/>
      <c r="S176" s="313"/>
      <c r="T176" s="313"/>
    </row>
    <row r="177" spans="2:20" ht="19.5" customHeight="1" thickBot="1">
      <c r="B177" s="1674"/>
      <c r="C177" s="1674"/>
      <c r="D177" s="1700"/>
      <c r="E177" s="321"/>
      <c r="F177" s="348"/>
      <c r="G177" s="348"/>
      <c r="H177" s="292"/>
      <c r="I177" s="349"/>
      <c r="J177" s="1007"/>
      <c r="K177" s="336"/>
      <c r="L177" s="350"/>
      <c r="M177" s="351"/>
      <c r="N177" s="1682"/>
      <c r="O177" s="1696"/>
      <c r="P177" s="1697"/>
      <c r="Q177" s="320"/>
      <c r="R177" s="313"/>
      <c r="S177" s="313"/>
      <c r="T177" s="313"/>
    </row>
    <row r="178" spans="2:20" ht="19.5" customHeight="1">
      <c r="B178" s="1674"/>
      <c r="C178" s="1674"/>
      <c r="D178" s="1700"/>
      <c r="E178" s="310"/>
      <c r="F178" s="340" t="s">
        <v>1</v>
      </c>
      <c r="G178" s="1450">
        <f>LEN(LEFT('記入シート'!D123,2))</f>
        <v>0</v>
      </c>
      <c r="H178" s="1451"/>
      <c r="I178" s="274" t="s">
        <v>452</v>
      </c>
      <c r="J178" s="1669" t="s">
        <v>345</v>
      </c>
      <c r="K178" s="1203">
        <f ca="1">CELL("row",'記入シート'!D123)</f>
        <v>123</v>
      </c>
      <c r="L178" s="1829">
        <v>2</v>
      </c>
      <c r="M178" s="1828">
        <f>M149</f>
        <v>135</v>
      </c>
      <c r="N178" s="1663" t="s">
        <v>8</v>
      </c>
      <c r="O178" s="1661">
        <f>IF(G178=0,0,1)</f>
        <v>0</v>
      </c>
      <c r="P178" s="1203" t="s">
        <v>453</v>
      </c>
      <c r="Q178" s="503" t="s">
        <v>6</v>
      </c>
      <c r="R178" s="313"/>
      <c r="S178" s="313"/>
      <c r="T178" s="313"/>
    </row>
    <row r="179" spans="2:20" ht="19.5" customHeight="1">
      <c r="B179" s="1674"/>
      <c r="C179" s="1674"/>
      <c r="D179" s="1700"/>
      <c r="E179" s="314"/>
      <c r="F179" s="315" t="s">
        <v>2</v>
      </c>
      <c r="G179" s="1448">
        <f>L178-G178</f>
        <v>2</v>
      </c>
      <c r="H179" s="1449"/>
      <c r="I179" s="222" t="s">
        <v>452</v>
      </c>
      <c r="J179" s="1670"/>
      <c r="K179" s="1195"/>
      <c r="L179" s="1690"/>
      <c r="M179" s="1819"/>
      <c r="N179" s="1664"/>
      <c r="O179" s="1662"/>
      <c r="P179" s="1195"/>
      <c r="Q179" s="986">
        <f>IF(G151=0,"",IF(O178=0,REPT("　",5*O180),CONCATENATE(REPT("　",G179),LEFT('記入シート'!D123,L178),"／",REPT("　",G181),LEFT('記入シート'!G123,L180),REPT("　",5*O180))))</f>
      </c>
      <c r="R179" s="313"/>
      <c r="S179" s="313"/>
      <c r="T179" s="313"/>
    </row>
    <row r="180" spans="2:20" ht="19.5" customHeight="1">
      <c r="B180" s="1674"/>
      <c r="C180" s="1674"/>
      <c r="D180" s="1700"/>
      <c r="E180" s="314"/>
      <c r="F180" s="315" t="s">
        <v>3</v>
      </c>
      <c r="G180" s="1448">
        <f>LEN(LEFT('記入シート'!G123,2))</f>
        <v>0</v>
      </c>
      <c r="H180" s="1449"/>
      <c r="I180" s="222" t="s">
        <v>452</v>
      </c>
      <c r="J180" s="1670" t="s">
        <v>346</v>
      </c>
      <c r="K180" s="1194">
        <f ca="1">CELL("row",'記入シート'!G123)</f>
        <v>123</v>
      </c>
      <c r="L180" s="1690">
        <v>2</v>
      </c>
      <c r="M180" s="1703">
        <f>M149</f>
        <v>135</v>
      </c>
      <c r="N180" s="1665" t="s">
        <v>147</v>
      </c>
      <c r="O180" s="1667">
        <f>O172-O178</f>
        <v>0</v>
      </c>
      <c r="P180" s="1194" t="s">
        <v>453</v>
      </c>
      <c r="Q180" s="987"/>
      <c r="R180" s="313"/>
      <c r="S180" s="313"/>
      <c r="T180" s="313"/>
    </row>
    <row r="181" spans="2:20" ht="19.5" customHeight="1">
      <c r="B181" s="1674"/>
      <c r="C181" s="1674"/>
      <c r="D181" s="1700"/>
      <c r="E181" s="317" t="s">
        <v>403</v>
      </c>
      <c r="F181" s="315" t="s">
        <v>461</v>
      </c>
      <c r="G181" s="1448">
        <f>L180-G180</f>
        <v>2</v>
      </c>
      <c r="H181" s="1449"/>
      <c r="I181" s="222" t="s">
        <v>452</v>
      </c>
      <c r="J181" s="1670"/>
      <c r="K181" s="1195"/>
      <c r="L181" s="1690"/>
      <c r="M181" s="1703"/>
      <c r="N181" s="1698"/>
      <c r="O181" s="1662"/>
      <c r="P181" s="1195"/>
      <c r="Q181" s="988"/>
      <c r="R181" s="313"/>
      <c r="S181" s="313"/>
      <c r="T181" s="313"/>
    </row>
    <row r="182" spans="2:20" ht="19.5" customHeight="1">
      <c r="B182" s="1674"/>
      <c r="C182" s="1674"/>
      <c r="D182" s="1700"/>
      <c r="E182" s="317" t="s">
        <v>256</v>
      </c>
      <c r="F182" s="315" t="s">
        <v>4</v>
      </c>
      <c r="G182" s="1448">
        <f>LEN(LEFT('記入シート'!N123,2))</f>
        <v>0</v>
      </c>
      <c r="H182" s="1449"/>
      <c r="I182" s="222" t="s">
        <v>452</v>
      </c>
      <c r="J182" s="1670" t="s">
        <v>347</v>
      </c>
      <c r="K182" s="1194">
        <f ca="1">CELL("row",'記入シート'!N123)</f>
        <v>123</v>
      </c>
      <c r="L182" s="1690">
        <v>2</v>
      </c>
      <c r="M182" s="1703">
        <f>M149</f>
        <v>135</v>
      </c>
      <c r="N182" s="1833" t="s">
        <v>178</v>
      </c>
      <c r="O182" s="1667">
        <f>IF(G182=0,0,1)</f>
        <v>0</v>
      </c>
      <c r="P182" s="1194" t="s">
        <v>453</v>
      </c>
      <c r="Q182" s="503" t="s">
        <v>7</v>
      </c>
      <c r="R182" s="313"/>
      <c r="S182" s="313"/>
      <c r="T182" s="313"/>
    </row>
    <row r="183" spans="2:20" ht="19.5" customHeight="1">
      <c r="B183" s="1674"/>
      <c r="C183" s="1674"/>
      <c r="D183" s="1700"/>
      <c r="E183" s="314"/>
      <c r="F183" s="315" t="s">
        <v>5</v>
      </c>
      <c r="G183" s="1448">
        <f>L182-G182</f>
        <v>2</v>
      </c>
      <c r="H183" s="1449"/>
      <c r="I183" s="222" t="s">
        <v>452</v>
      </c>
      <c r="J183" s="1670"/>
      <c r="K183" s="1195"/>
      <c r="L183" s="1690"/>
      <c r="M183" s="1703"/>
      <c r="N183" s="1664"/>
      <c r="O183" s="1662"/>
      <c r="P183" s="1195"/>
      <c r="Q183" s="986">
        <f>IF(G151=0,"",IF(O182=0,REPT("　",5*O184),CONCATENATE(REPT("　",G183),LEFT('記入シート'!N123,L182),"／",REPT("　",G185),LEFT('記入シート'!Q123,L184),REPT("　",5*O184))))</f>
      </c>
      <c r="R183" s="313"/>
      <c r="S183" s="313"/>
      <c r="T183" s="313"/>
    </row>
    <row r="184" spans="2:20" ht="19.5" customHeight="1">
      <c r="B184" s="1674"/>
      <c r="C184" s="1674"/>
      <c r="D184" s="1700"/>
      <c r="E184" s="314"/>
      <c r="F184" s="315" t="s">
        <v>462</v>
      </c>
      <c r="G184" s="1448">
        <f>LEN(LEFT('記入シート'!Q123,2))</f>
        <v>0</v>
      </c>
      <c r="H184" s="1449"/>
      <c r="I184" s="222" t="s">
        <v>452</v>
      </c>
      <c r="J184" s="1670" t="s">
        <v>348</v>
      </c>
      <c r="K184" s="1194">
        <f ca="1">CELL("row",'記入シート'!Q123)</f>
        <v>123</v>
      </c>
      <c r="L184" s="1690">
        <v>2</v>
      </c>
      <c r="M184" s="1703">
        <f>M149</f>
        <v>135</v>
      </c>
      <c r="N184" s="1665" t="s">
        <v>180</v>
      </c>
      <c r="O184" s="1667">
        <f>O172-O182</f>
        <v>0</v>
      </c>
      <c r="P184" s="1194" t="s">
        <v>453</v>
      </c>
      <c r="Q184" s="987"/>
      <c r="R184" s="313"/>
      <c r="S184" s="313"/>
      <c r="T184" s="313"/>
    </row>
    <row r="185" spans="2:20" ht="19.5" customHeight="1" thickBot="1">
      <c r="B185" s="1674"/>
      <c r="C185" s="1674"/>
      <c r="D185" s="1700"/>
      <c r="E185" s="659"/>
      <c r="F185" s="315" t="s">
        <v>463</v>
      </c>
      <c r="G185" s="1496">
        <f>L184-G184</f>
        <v>2</v>
      </c>
      <c r="H185" s="1497"/>
      <c r="I185" s="222" t="s">
        <v>452</v>
      </c>
      <c r="J185" s="1687"/>
      <c r="K185" s="1196"/>
      <c r="L185" s="1809"/>
      <c r="M185" s="1819"/>
      <c r="N185" s="1666"/>
      <c r="O185" s="1668"/>
      <c r="P185" s="1196"/>
      <c r="Q185" s="989"/>
      <c r="R185" s="313"/>
      <c r="S185" s="313"/>
      <c r="T185" s="313"/>
    </row>
    <row r="186" spans="2:20" ht="19.5" customHeight="1">
      <c r="B186" s="1674"/>
      <c r="C186" s="1674"/>
      <c r="D186" s="1700"/>
      <c r="E186" s="660" t="s">
        <v>404</v>
      </c>
      <c r="F186" s="329" t="s">
        <v>420</v>
      </c>
      <c r="G186" s="1450">
        <f>IF('記入シート'!C126=0,0,1)</f>
        <v>0</v>
      </c>
      <c r="H186" s="1451"/>
      <c r="I186" s="274" t="s">
        <v>452</v>
      </c>
      <c r="J186" s="1688" t="s">
        <v>350</v>
      </c>
      <c r="K186" s="1197">
        <f ca="1">CELL("row",'記入シート'!C126)</f>
        <v>126</v>
      </c>
      <c r="L186" s="1691">
        <f>$L$66</f>
        <v>1</v>
      </c>
      <c r="M186" s="1705">
        <f>M149</f>
        <v>135</v>
      </c>
      <c r="N186" s="1663" t="s">
        <v>10</v>
      </c>
      <c r="O186" s="1661">
        <f>IF(G186=0,0,1)</f>
        <v>0</v>
      </c>
      <c r="P186" s="1203" t="s">
        <v>453</v>
      </c>
      <c r="Q186" s="639">
        <f>IF(G151=0,"",CONCATENATE(LEFT('記入シート'!C126,1),REPT("　",O188)))</f>
      </c>
      <c r="R186" s="313"/>
      <c r="S186" s="313"/>
      <c r="T186" s="313"/>
    </row>
    <row r="187" spans="2:20" ht="19.5" customHeight="1">
      <c r="B187" s="1674"/>
      <c r="C187" s="1674"/>
      <c r="D187" s="1700"/>
      <c r="E187" s="317" t="s">
        <v>256</v>
      </c>
      <c r="F187" s="315" t="s">
        <v>460</v>
      </c>
      <c r="G187" s="1448">
        <f>L186-G186</f>
        <v>1</v>
      </c>
      <c r="H187" s="1449"/>
      <c r="I187" s="222" t="s">
        <v>452</v>
      </c>
      <c r="J187" s="1689"/>
      <c r="K187" s="1198"/>
      <c r="L187" s="1692"/>
      <c r="M187" s="1706"/>
      <c r="N187" s="1664"/>
      <c r="O187" s="1662"/>
      <c r="P187" s="1195"/>
      <c r="Q187" s="363"/>
      <c r="R187" s="313"/>
      <c r="S187" s="313"/>
      <c r="T187" s="313"/>
    </row>
    <row r="188" spans="2:20" ht="19.5" customHeight="1" thickBot="1">
      <c r="B188" s="1674"/>
      <c r="C188" s="1674"/>
      <c r="D188" s="1700"/>
      <c r="E188" s="366"/>
      <c r="F188" s="330" t="s">
        <v>158</v>
      </c>
      <c r="G188" s="272" t="s">
        <v>159</v>
      </c>
      <c r="H188" s="367">
        <f>WIDECHAR('記入シート'!C126)</f>
      </c>
      <c r="I188" s="271" t="s">
        <v>160</v>
      </c>
      <c r="J188" s="1672"/>
      <c r="K188" s="1199"/>
      <c r="L188" s="1693"/>
      <c r="M188" s="1707"/>
      <c r="N188" s="276" t="s">
        <v>148</v>
      </c>
      <c r="O188" s="794">
        <f>O172-O186</f>
        <v>0</v>
      </c>
      <c r="P188" s="222" t="s">
        <v>453</v>
      </c>
      <c r="Q188" s="313"/>
      <c r="R188" s="313"/>
      <c r="S188" s="313"/>
      <c r="T188" s="313"/>
    </row>
    <row r="189" spans="2:20" ht="19.5" customHeight="1" thickTop="1">
      <c r="B189" s="1673" t="s">
        <v>257</v>
      </c>
      <c r="C189" s="1673" t="s">
        <v>400</v>
      </c>
      <c r="D189" s="1699" t="s">
        <v>258</v>
      </c>
      <c r="E189" s="344" t="s">
        <v>437</v>
      </c>
      <c r="F189" s="345"/>
      <c r="G189" s="1717">
        <f>G149-G156-O149*L149</f>
        <v>2565</v>
      </c>
      <c r="H189" s="1718"/>
      <c r="I189" s="345" t="s">
        <v>452</v>
      </c>
      <c r="J189" s="1715" t="s">
        <v>352</v>
      </c>
      <c r="K189" s="1200">
        <f ca="1">CELL("row",'記入シート'!C131)</f>
        <v>131</v>
      </c>
      <c r="L189" s="1820">
        <f>$L$32</f>
        <v>19</v>
      </c>
      <c r="M189" s="1701">
        <f>G189/L189</f>
        <v>135</v>
      </c>
      <c r="N189" s="1817" t="s">
        <v>144</v>
      </c>
      <c r="O189" s="1818">
        <f>O212-G194</f>
        <v>0</v>
      </c>
      <c r="P189" s="1873" t="s">
        <v>453</v>
      </c>
      <c r="Q189" s="1263">
        <f>IF(G193=0,"",CONCATENATE("⑤　",'記入シート'!C131,REPT("　",O189*L189+ABS(G195))))</f>
      </c>
      <c r="R189" s="1264"/>
      <c r="S189" s="1264"/>
      <c r="T189" s="1710"/>
    </row>
    <row r="190" spans="2:20" ht="19.5" customHeight="1">
      <c r="B190" s="1674"/>
      <c r="C190" s="1674"/>
      <c r="D190" s="1700"/>
      <c r="E190" s="297" t="s">
        <v>273</v>
      </c>
      <c r="F190" s="298"/>
      <c r="G190" s="1206">
        <f>IF(G189&gt;2,G189-2,0)</f>
        <v>2563</v>
      </c>
      <c r="H190" s="1207"/>
      <c r="I190" s="796" t="s">
        <v>452</v>
      </c>
      <c r="J190" s="1689"/>
      <c r="K190" s="1198"/>
      <c r="L190" s="1692"/>
      <c r="M190" s="1702"/>
      <c r="N190" s="1675"/>
      <c r="O190" s="1676"/>
      <c r="P190" s="1677"/>
      <c r="Q190" s="1266"/>
      <c r="R190" s="1267"/>
      <c r="S190" s="1267"/>
      <c r="T190" s="1711"/>
    </row>
    <row r="191" spans="2:20" ht="19.5" customHeight="1">
      <c r="B191" s="1674"/>
      <c r="C191" s="1674"/>
      <c r="D191" s="1700"/>
      <c r="E191" s="300" t="s">
        <v>274</v>
      </c>
      <c r="F191" s="301"/>
      <c r="G191" s="1448">
        <f>LEN('記入シート'!C131)</f>
        <v>0</v>
      </c>
      <c r="H191" s="1449"/>
      <c r="I191" s="298" t="s">
        <v>452</v>
      </c>
      <c r="J191" s="1689"/>
      <c r="K191" s="1198"/>
      <c r="L191" s="1692"/>
      <c r="M191" s="1703"/>
      <c r="N191" s="1698"/>
      <c r="O191" s="1662"/>
      <c r="P191" s="1195"/>
      <c r="Q191" s="1266"/>
      <c r="R191" s="1267"/>
      <c r="S191" s="1267"/>
      <c r="T191" s="1711"/>
    </row>
    <row r="192" spans="2:20" ht="19.5" customHeight="1">
      <c r="B192" s="1674"/>
      <c r="C192" s="1674"/>
      <c r="D192" s="1700"/>
      <c r="E192" s="300" t="s">
        <v>167</v>
      </c>
      <c r="F192" s="301"/>
      <c r="G192" s="1110" t="str">
        <f>IF(G191&gt;G190,"OVER","INSIDE")</f>
        <v>INSIDE</v>
      </c>
      <c r="H192" s="1111"/>
      <c r="I192" s="1112"/>
      <c r="J192" s="1689"/>
      <c r="K192" s="1198"/>
      <c r="L192" s="1692"/>
      <c r="M192" s="1703"/>
      <c r="N192" s="303"/>
      <c r="O192" s="285"/>
      <c r="P192" s="286"/>
      <c r="Q192" s="1266"/>
      <c r="R192" s="1267"/>
      <c r="S192" s="1267"/>
      <c r="T192" s="1711"/>
    </row>
    <row r="193" spans="2:20" ht="19.5" customHeight="1">
      <c r="B193" s="1674"/>
      <c r="C193" s="1674"/>
      <c r="D193" s="1700"/>
      <c r="E193" s="300" t="s">
        <v>275</v>
      </c>
      <c r="F193" s="301"/>
      <c r="G193" s="1452">
        <f>IF(G191=0,0,IF(G192="OVER",0,G191+2))</f>
        <v>0</v>
      </c>
      <c r="H193" s="1453"/>
      <c r="I193" s="298" t="s">
        <v>452</v>
      </c>
      <c r="J193" s="1689"/>
      <c r="K193" s="1198"/>
      <c r="L193" s="1692"/>
      <c r="M193" s="1703"/>
      <c r="N193" s="303"/>
      <c r="O193" s="285"/>
      <c r="P193" s="286"/>
      <c r="Q193" s="1266"/>
      <c r="R193" s="1267"/>
      <c r="S193" s="1267"/>
      <c r="T193" s="1711"/>
    </row>
    <row r="194" spans="2:20" ht="19.5" customHeight="1">
      <c r="B194" s="1674"/>
      <c r="C194" s="1674"/>
      <c r="D194" s="1700"/>
      <c r="E194" s="304" t="s">
        <v>451</v>
      </c>
      <c r="F194" s="305"/>
      <c r="G194" s="1452">
        <f>ROUNDUP(G193/L189,0)</f>
        <v>0</v>
      </c>
      <c r="H194" s="1453"/>
      <c r="I194" s="298" t="s">
        <v>453</v>
      </c>
      <c r="J194" s="1689"/>
      <c r="K194" s="1198"/>
      <c r="L194" s="1692"/>
      <c r="M194" s="1703"/>
      <c r="N194" s="303"/>
      <c r="O194" s="285"/>
      <c r="P194" s="286"/>
      <c r="Q194" s="1266"/>
      <c r="R194" s="1267"/>
      <c r="S194" s="1267"/>
      <c r="T194" s="1711"/>
    </row>
    <row r="195" spans="2:20" ht="19.5" customHeight="1">
      <c r="B195" s="1674"/>
      <c r="C195" s="1674"/>
      <c r="D195" s="1700"/>
      <c r="E195" s="304" t="s">
        <v>419</v>
      </c>
      <c r="F195" s="305"/>
      <c r="G195" s="1452">
        <f>G193-G194*L189</f>
        <v>0</v>
      </c>
      <c r="H195" s="1453"/>
      <c r="I195" s="298" t="s">
        <v>452</v>
      </c>
      <c r="J195" s="1689"/>
      <c r="K195" s="1198"/>
      <c r="L195" s="1692"/>
      <c r="M195" s="1703"/>
      <c r="N195" s="303"/>
      <c r="O195" s="285"/>
      <c r="P195" s="286"/>
      <c r="Q195" s="1266"/>
      <c r="R195" s="1267"/>
      <c r="S195" s="1267"/>
      <c r="T195" s="1711"/>
    </row>
    <row r="196" spans="2:20" ht="19.5" customHeight="1" thickBot="1">
      <c r="B196" s="1674"/>
      <c r="C196" s="1674"/>
      <c r="D196" s="1700"/>
      <c r="E196" s="306" t="s">
        <v>423</v>
      </c>
      <c r="F196" s="307"/>
      <c r="G196" s="1713">
        <f>G194*L189</f>
        <v>0</v>
      </c>
      <c r="H196" s="1714"/>
      <c r="I196" s="308" t="s">
        <v>452</v>
      </c>
      <c r="J196" s="1716"/>
      <c r="K196" s="1201"/>
      <c r="L196" s="1821"/>
      <c r="M196" s="1704"/>
      <c r="N196" s="309"/>
      <c r="O196" s="292"/>
      <c r="P196" s="293"/>
      <c r="Q196" s="1269"/>
      <c r="R196" s="1270"/>
      <c r="S196" s="1270"/>
      <c r="T196" s="1712"/>
    </row>
    <row r="197" spans="2:20" ht="19.5" customHeight="1">
      <c r="B197" s="1674"/>
      <c r="C197" s="1674"/>
      <c r="D197" s="1700"/>
      <c r="E197" s="310"/>
      <c r="F197" s="801" t="s">
        <v>455</v>
      </c>
      <c r="G197" s="1450">
        <f>LEN(LEFT('記入シート'!C135,L197))</f>
        <v>0</v>
      </c>
      <c r="H197" s="1451"/>
      <c r="I197" s="274" t="s">
        <v>452</v>
      </c>
      <c r="J197" s="1669" t="s">
        <v>352</v>
      </c>
      <c r="K197" s="1197">
        <f ca="1">CELL("row",'記入シート'!C135)</f>
        <v>135</v>
      </c>
      <c r="L197" s="1691">
        <f>$L$40</f>
        <v>6</v>
      </c>
      <c r="M197" s="1705">
        <f>M189</f>
        <v>135</v>
      </c>
      <c r="N197" s="1678" t="s">
        <v>474</v>
      </c>
      <c r="O197" s="1676">
        <f>SUM(G197:H204)</f>
        <v>0</v>
      </c>
      <c r="P197" s="1708" t="s">
        <v>452</v>
      </c>
      <c r="Q197" s="1554">
        <f>IF(O202=0,REPT("　",O212*L197),CONCATENATE(LEFT('記入シート'!C135,L197),REPT("　",G198),LEFT('記入シート'!C136,L197),REPT("　",G200),LEFT('記入シート'!C137,L197),REPT("　",G202),LEFT('記入シート'!C138,L197),REPT("　",G204),REPT("　",L197*O204)))</f>
      </c>
      <c r="R197" s="363"/>
      <c r="S197" s="364"/>
      <c r="T197" s="364"/>
    </row>
    <row r="198" spans="2:20" ht="19.5" customHeight="1">
      <c r="B198" s="1674"/>
      <c r="C198" s="1674"/>
      <c r="D198" s="1700"/>
      <c r="E198" s="314"/>
      <c r="F198" s="802" t="s">
        <v>458</v>
      </c>
      <c r="G198" s="1448">
        <f>IF(G197=0,0,L197-G197)</f>
        <v>0</v>
      </c>
      <c r="H198" s="1449"/>
      <c r="I198" s="222" t="s">
        <v>452</v>
      </c>
      <c r="J198" s="1670"/>
      <c r="K198" s="1198"/>
      <c r="L198" s="1692"/>
      <c r="M198" s="1706"/>
      <c r="N198" s="1679"/>
      <c r="O198" s="1676"/>
      <c r="P198" s="1708"/>
      <c r="Q198" s="1554"/>
      <c r="R198" s="365"/>
      <c r="S198" s="313"/>
      <c r="T198" s="313"/>
    </row>
    <row r="199" spans="2:20" ht="19.5" customHeight="1">
      <c r="B199" s="1674"/>
      <c r="C199" s="1674"/>
      <c r="D199" s="1700"/>
      <c r="E199" s="314"/>
      <c r="F199" s="802" t="s">
        <v>456</v>
      </c>
      <c r="G199" s="1448">
        <f>LEN(LEFT('記入シート'!C136,L197))</f>
        <v>0</v>
      </c>
      <c r="H199" s="1449"/>
      <c r="I199" s="222" t="s">
        <v>452</v>
      </c>
      <c r="J199" s="1670" t="s">
        <v>352</v>
      </c>
      <c r="K199" s="1202">
        <f ca="1">CELL("row",'記入シート'!C136)</f>
        <v>136</v>
      </c>
      <c r="L199" s="1692"/>
      <c r="M199" s="1706"/>
      <c r="N199" s="1679"/>
      <c r="O199" s="1676"/>
      <c r="P199" s="1708"/>
      <c r="Q199" s="1554"/>
      <c r="R199" s="313"/>
      <c r="S199" s="313"/>
      <c r="T199" s="313"/>
    </row>
    <row r="200" spans="2:20" ht="19.5" customHeight="1">
      <c r="B200" s="1674"/>
      <c r="C200" s="1674"/>
      <c r="D200" s="1700"/>
      <c r="E200" s="317" t="s">
        <v>401</v>
      </c>
      <c r="F200" s="802" t="s">
        <v>459</v>
      </c>
      <c r="G200" s="1448">
        <f>IF(G199=0,0,L197-G199)</f>
        <v>0</v>
      </c>
      <c r="H200" s="1449"/>
      <c r="I200" s="222" t="s">
        <v>452</v>
      </c>
      <c r="J200" s="1670"/>
      <c r="K200" s="1202"/>
      <c r="L200" s="1692"/>
      <c r="M200" s="1706"/>
      <c r="N200" s="1679"/>
      <c r="O200" s="1676"/>
      <c r="P200" s="1708"/>
      <c r="Q200" s="1549"/>
      <c r="R200" s="313"/>
      <c r="S200" s="313"/>
      <c r="T200" s="313"/>
    </row>
    <row r="201" spans="2:20" ht="19.5" customHeight="1">
      <c r="B201" s="1674"/>
      <c r="C201" s="1674"/>
      <c r="D201" s="1700"/>
      <c r="E201" s="317" t="s">
        <v>259</v>
      </c>
      <c r="F201" s="330" t="s">
        <v>475</v>
      </c>
      <c r="G201" s="1448">
        <f>LEN(LEFT('記入シート'!C137,L197))</f>
        <v>0</v>
      </c>
      <c r="H201" s="1449"/>
      <c r="I201" s="222" t="s">
        <v>452</v>
      </c>
      <c r="J201" s="1671" t="s">
        <v>352</v>
      </c>
      <c r="K201" s="1202">
        <f ca="1">CELL("row",'記入シート'!C137)</f>
        <v>137</v>
      </c>
      <c r="L201" s="1692"/>
      <c r="M201" s="1706"/>
      <c r="N201" s="1680"/>
      <c r="O201" s="1662"/>
      <c r="P201" s="1709"/>
      <c r="Q201" s="320"/>
      <c r="R201" s="313"/>
      <c r="S201" s="313"/>
      <c r="T201" s="313"/>
    </row>
    <row r="202" spans="2:20" ht="19.5" customHeight="1">
      <c r="B202" s="1674"/>
      <c r="C202" s="1674"/>
      <c r="D202" s="1700"/>
      <c r="E202" s="314"/>
      <c r="F202" s="330" t="s">
        <v>476</v>
      </c>
      <c r="G202" s="1448">
        <f>IF(G201=0,0,L197-G201)</f>
        <v>0</v>
      </c>
      <c r="H202" s="1449"/>
      <c r="I202" s="222" t="s">
        <v>452</v>
      </c>
      <c r="J202" s="1672"/>
      <c r="K202" s="1202"/>
      <c r="L202" s="1692"/>
      <c r="M202" s="1706"/>
      <c r="N202" s="1665" t="s">
        <v>480</v>
      </c>
      <c r="O202" s="1667">
        <f>O197/$L$40</f>
        <v>0</v>
      </c>
      <c r="P202" s="1194" t="s">
        <v>453</v>
      </c>
      <c r="Q202" s="320"/>
      <c r="R202" s="313"/>
      <c r="S202" s="313"/>
      <c r="T202" s="313"/>
    </row>
    <row r="203" spans="2:20" ht="19.5" customHeight="1">
      <c r="B203" s="1674"/>
      <c r="C203" s="1674"/>
      <c r="D203" s="1700"/>
      <c r="E203" s="314"/>
      <c r="F203" s="330" t="s">
        <v>477</v>
      </c>
      <c r="G203" s="1448">
        <f>LEN(LEFT('記入シート'!C138,L197))</f>
        <v>0</v>
      </c>
      <c r="H203" s="1449"/>
      <c r="I203" s="222" t="s">
        <v>452</v>
      </c>
      <c r="J203" s="1671" t="s">
        <v>352</v>
      </c>
      <c r="K203" s="1202">
        <f ca="1">CELL("row",'記入シート'!C138)</f>
        <v>138</v>
      </c>
      <c r="L203" s="1692"/>
      <c r="M203" s="1706"/>
      <c r="N203" s="1698"/>
      <c r="O203" s="1662"/>
      <c r="P203" s="1195"/>
      <c r="Q203" s="320"/>
      <c r="R203" s="313"/>
      <c r="S203" s="313"/>
      <c r="T203" s="313"/>
    </row>
    <row r="204" spans="2:20" ht="19.5" customHeight="1">
      <c r="B204" s="1674"/>
      <c r="C204" s="1674"/>
      <c r="D204" s="1700"/>
      <c r="E204" s="314"/>
      <c r="F204" s="330" t="s">
        <v>478</v>
      </c>
      <c r="G204" s="1448">
        <f>IF(G203=0,0,L197-G203)</f>
        <v>0</v>
      </c>
      <c r="H204" s="1449"/>
      <c r="I204" s="271" t="s">
        <v>452</v>
      </c>
      <c r="J204" s="1672"/>
      <c r="K204" s="1202"/>
      <c r="L204" s="1693"/>
      <c r="M204" s="1707"/>
      <c r="N204" s="276" t="s">
        <v>252</v>
      </c>
      <c r="O204" s="794">
        <f>O212-O202</f>
        <v>0</v>
      </c>
      <c r="P204" s="222" t="s">
        <v>453</v>
      </c>
      <c r="Q204" s="320"/>
      <c r="R204" s="313"/>
      <c r="S204" s="313"/>
      <c r="T204" s="313"/>
    </row>
    <row r="205" spans="2:20" ht="19.5" customHeight="1">
      <c r="B205" s="1674"/>
      <c r="C205" s="1674"/>
      <c r="D205" s="1700"/>
      <c r="E205" s="331"/>
      <c r="F205" s="312"/>
      <c r="G205" s="312"/>
      <c r="H205" s="285"/>
      <c r="I205" s="336"/>
      <c r="J205" s="1008"/>
      <c r="K205" s="1020"/>
      <c r="L205" s="338"/>
      <c r="M205" s="339"/>
      <c r="N205" s="1904" t="s">
        <v>124</v>
      </c>
      <c r="O205" s="1694" t="str">
        <f>IF(O202&gt;G189/L189,"OVER","INSIDE")</f>
        <v>INSIDE</v>
      </c>
      <c r="P205" s="1695"/>
      <c r="Q205" s="320"/>
      <c r="R205" s="313"/>
      <c r="S205" s="313"/>
      <c r="T205" s="313"/>
    </row>
    <row r="206" spans="2:20" ht="19.5" customHeight="1" thickBot="1">
      <c r="B206" s="1674"/>
      <c r="C206" s="1674"/>
      <c r="D206" s="1700"/>
      <c r="E206" s="321"/>
      <c r="F206" s="348"/>
      <c r="G206" s="348"/>
      <c r="H206" s="292"/>
      <c r="I206" s="349"/>
      <c r="J206" s="1007"/>
      <c r="K206" s="1021"/>
      <c r="L206" s="350"/>
      <c r="M206" s="351"/>
      <c r="N206" s="1905"/>
      <c r="O206" s="1696"/>
      <c r="P206" s="1697"/>
      <c r="Q206" s="320"/>
      <c r="R206" s="313"/>
      <c r="S206" s="313"/>
      <c r="T206" s="313"/>
    </row>
    <row r="207" spans="2:20" ht="19.5" customHeight="1">
      <c r="B207" s="1674"/>
      <c r="C207" s="1674"/>
      <c r="D207" s="1700"/>
      <c r="E207" s="310"/>
      <c r="F207" s="329" t="s">
        <v>455</v>
      </c>
      <c r="G207" s="1450">
        <f>LEN(LEFT('記入シート'!C141,L207))</f>
        <v>0</v>
      </c>
      <c r="H207" s="1451"/>
      <c r="I207" s="274" t="s">
        <v>452</v>
      </c>
      <c r="J207" s="1669" t="s">
        <v>352</v>
      </c>
      <c r="K207" s="1197">
        <f ca="1">CELL("row",'記入シート'!C141)</f>
        <v>141</v>
      </c>
      <c r="L207" s="1691">
        <f>$L$49</f>
        <v>6</v>
      </c>
      <c r="M207" s="1828">
        <f>M189</f>
        <v>135</v>
      </c>
      <c r="N207" s="1678" t="s">
        <v>484</v>
      </c>
      <c r="O207" s="1661">
        <f>SUM(G207:H210)</f>
        <v>0</v>
      </c>
      <c r="P207" s="1203" t="s">
        <v>452</v>
      </c>
      <c r="Q207" s="1548">
        <f>IF(O210=0,REPT("　",O212*L207),CONCATENATE(LEFT('記入シート'!C141,L207),REPT("　",G208),LEFT('記入シート'!C142,L207),REPT("　",G210),REPT("　",L207*O215)))</f>
      </c>
      <c r="R207" s="313"/>
      <c r="S207" s="313"/>
      <c r="T207" s="313"/>
    </row>
    <row r="208" spans="2:20" ht="19.5" customHeight="1">
      <c r="B208" s="1674"/>
      <c r="C208" s="1674"/>
      <c r="D208" s="1700"/>
      <c r="E208" s="317" t="s">
        <v>402</v>
      </c>
      <c r="F208" s="315" t="s">
        <v>458</v>
      </c>
      <c r="G208" s="1448">
        <f>IF(G207=0,0,L207-G207)</f>
        <v>0</v>
      </c>
      <c r="H208" s="1449"/>
      <c r="I208" s="222" t="s">
        <v>452</v>
      </c>
      <c r="J208" s="1670"/>
      <c r="K208" s="1198"/>
      <c r="L208" s="1692"/>
      <c r="M208" s="1703"/>
      <c r="N208" s="1679"/>
      <c r="O208" s="1676"/>
      <c r="P208" s="1677"/>
      <c r="Q208" s="1549"/>
      <c r="R208" s="313"/>
      <c r="S208" s="313"/>
      <c r="T208" s="313"/>
    </row>
    <row r="209" spans="2:20" ht="19.5" customHeight="1">
      <c r="B209" s="1674"/>
      <c r="C209" s="1674"/>
      <c r="D209" s="1700"/>
      <c r="E209" s="317" t="s">
        <v>259</v>
      </c>
      <c r="F209" s="315" t="s">
        <v>456</v>
      </c>
      <c r="G209" s="1448">
        <f>LEN(LEFT('記入シート'!C142,L207))</f>
        <v>0</v>
      </c>
      <c r="H209" s="1449"/>
      <c r="I209" s="222" t="s">
        <v>452</v>
      </c>
      <c r="J209" s="1671" t="s">
        <v>352</v>
      </c>
      <c r="K209" s="1194">
        <f ca="1">CELL("row",'記入シート'!C142)</f>
        <v>142</v>
      </c>
      <c r="L209" s="1692"/>
      <c r="M209" s="1703"/>
      <c r="N209" s="1680"/>
      <c r="O209" s="1662"/>
      <c r="P209" s="1195"/>
      <c r="Q209" s="320"/>
      <c r="R209" s="313"/>
      <c r="S209" s="313"/>
      <c r="T209" s="313"/>
    </row>
    <row r="210" spans="2:20" ht="19.5" customHeight="1">
      <c r="B210" s="1674"/>
      <c r="C210" s="1674"/>
      <c r="D210" s="1700"/>
      <c r="E210" s="314"/>
      <c r="F210" s="318" t="s">
        <v>459</v>
      </c>
      <c r="G210" s="1448">
        <f>IF(G209=0,0,L207-G209)</f>
        <v>0</v>
      </c>
      <c r="H210" s="1449"/>
      <c r="I210" s="271" t="s">
        <v>452</v>
      </c>
      <c r="J210" s="1672"/>
      <c r="K210" s="1195"/>
      <c r="L210" s="1693"/>
      <c r="M210" s="1703"/>
      <c r="N210" s="1665" t="s">
        <v>479</v>
      </c>
      <c r="O210" s="1667">
        <f>O207/$L$49</f>
        <v>0</v>
      </c>
      <c r="P210" s="1194" t="s">
        <v>453</v>
      </c>
      <c r="Q210" s="320"/>
      <c r="R210" s="313"/>
      <c r="S210" s="313"/>
      <c r="T210" s="313"/>
    </row>
    <row r="211" spans="2:20" ht="19.5" customHeight="1">
      <c r="B211" s="1674"/>
      <c r="C211" s="1674"/>
      <c r="D211" s="1700"/>
      <c r="E211" s="331"/>
      <c r="F211" s="316"/>
      <c r="G211" s="316"/>
      <c r="H211" s="282"/>
      <c r="I211" s="332"/>
      <c r="J211" s="1006"/>
      <c r="K211" s="332"/>
      <c r="L211" s="334"/>
      <c r="M211" s="333"/>
      <c r="N211" s="1675"/>
      <c r="O211" s="1676"/>
      <c r="P211" s="1677"/>
      <c r="Q211" s="320"/>
      <c r="R211" s="313"/>
      <c r="S211" s="313"/>
      <c r="T211" s="313"/>
    </row>
    <row r="212" spans="2:20" ht="19.5" customHeight="1">
      <c r="B212" s="1674"/>
      <c r="C212" s="1674"/>
      <c r="D212" s="1700"/>
      <c r="E212" s="331"/>
      <c r="F212" s="312"/>
      <c r="G212" s="312"/>
      <c r="H212" s="285"/>
      <c r="I212" s="336"/>
      <c r="J212" s="1008"/>
      <c r="K212" s="336"/>
      <c r="L212" s="338"/>
      <c r="M212" s="337"/>
      <c r="N212" s="1665" t="s">
        <v>483</v>
      </c>
      <c r="O212" s="1667">
        <f>MAX(G194,O202,O210)</f>
        <v>0</v>
      </c>
      <c r="P212" s="1194" t="s">
        <v>453</v>
      </c>
      <c r="Q212" s="320"/>
      <c r="R212" s="313"/>
      <c r="S212" s="313"/>
      <c r="T212" s="313"/>
    </row>
    <row r="213" spans="2:20" ht="19.5" customHeight="1">
      <c r="B213" s="1674"/>
      <c r="C213" s="1674"/>
      <c r="D213" s="1700"/>
      <c r="E213" s="331"/>
      <c r="F213" s="312"/>
      <c r="G213" s="312"/>
      <c r="H213" s="285"/>
      <c r="I213" s="336"/>
      <c r="J213" s="1008"/>
      <c r="K213" s="336"/>
      <c r="L213" s="338"/>
      <c r="M213" s="337"/>
      <c r="N213" s="1675"/>
      <c r="O213" s="1676"/>
      <c r="P213" s="1677"/>
      <c r="Q213" s="320"/>
      <c r="R213" s="313"/>
      <c r="S213" s="313"/>
      <c r="T213" s="313"/>
    </row>
    <row r="214" spans="2:20" ht="19.5" customHeight="1">
      <c r="B214" s="1674"/>
      <c r="C214" s="1674"/>
      <c r="D214" s="1700"/>
      <c r="E214" s="331"/>
      <c r="F214" s="312"/>
      <c r="G214" s="312"/>
      <c r="H214" s="285"/>
      <c r="I214" s="336"/>
      <c r="J214" s="1008"/>
      <c r="K214" s="336"/>
      <c r="L214" s="338"/>
      <c r="M214" s="337"/>
      <c r="N214" s="1698"/>
      <c r="O214" s="1662"/>
      <c r="P214" s="1195"/>
      <c r="Q214" s="320"/>
      <c r="R214" s="313"/>
      <c r="S214" s="313"/>
      <c r="T214" s="313"/>
    </row>
    <row r="215" spans="2:20" ht="19.5" customHeight="1">
      <c r="B215" s="1674"/>
      <c r="C215" s="1674"/>
      <c r="D215" s="1700"/>
      <c r="E215" s="331"/>
      <c r="F215" s="312"/>
      <c r="G215" s="312"/>
      <c r="H215" s="285"/>
      <c r="I215" s="336"/>
      <c r="J215" s="1008"/>
      <c r="K215" s="336"/>
      <c r="L215" s="338"/>
      <c r="M215" s="337"/>
      <c r="N215" s="276" t="s">
        <v>145</v>
      </c>
      <c r="O215" s="794">
        <f>O212-O210</f>
        <v>0</v>
      </c>
      <c r="P215" s="222" t="s">
        <v>453</v>
      </c>
      <c r="Q215" s="320"/>
      <c r="R215" s="313"/>
      <c r="S215" s="313"/>
      <c r="T215" s="313"/>
    </row>
    <row r="216" spans="2:20" ht="19.5" customHeight="1">
      <c r="B216" s="1674"/>
      <c r="C216" s="1674"/>
      <c r="D216" s="1700"/>
      <c r="E216" s="331"/>
      <c r="F216" s="312"/>
      <c r="G216" s="312"/>
      <c r="H216" s="285"/>
      <c r="I216" s="336"/>
      <c r="J216" s="1008"/>
      <c r="K216" s="336"/>
      <c r="L216" s="338"/>
      <c r="M216" s="339"/>
      <c r="N216" s="1681" t="s">
        <v>125</v>
      </c>
      <c r="O216" s="1694" t="str">
        <f>IF(O210&gt;G189/L189,"OVER","INSIDE")</f>
        <v>INSIDE</v>
      </c>
      <c r="P216" s="1695"/>
      <c r="Q216" s="320"/>
      <c r="R216" s="313"/>
      <c r="S216" s="313"/>
      <c r="T216" s="313"/>
    </row>
    <row r="217" spans="2:20" ht="19.5" customHeight="1" thickBot="1">
      <c r="B217" s="1674"/>
      <c r="C217" s="1674"/>
      <c r="D217" s="1700"/>
      <c r="E217" s="321"/>
      <c r="F217" s="348"/>
      <c r="G217" s="348"/>
      <c r="H217" s="292"/>
      <c r="I217" s="349"/>
      <c r="J217" s="1007"/>
      <c r="K217" s="336"/>
      <c r="L217" s="350"/>
      <c r="M217" s="351"/>
      <c r="N217" s="1682"/>
      <c r="O217" s="1696"/>
      <c r="P217" s="1697"/>
      <c r="Q217" s="320"/>
      <c r="R217" s="313"/>
      <c r="S217" s="313"/>
      <c r="T217" s="313"/>
    </row>
    <row r="218" spans="2:20" ht="19.5" customHeight="1">
      <c r="B218" s="1674"/>
      <c r="C218" s="1674"/>
      <c r="D218" s="1700"/>
      <c r="E218" s="310"/>
      <c r="F218" s="340" t="s">
        <v>1</v>
      </c>
      <c r="G218" s="1450">
        <f>LEN(LEFT('記入シート'!D145,2))</f>
        <v>0</v>
      </c>
      <c r="H218" s="1451"/>
      <c r="I218" s="274" t="s">
        <v>452</v>
      </c>
      <c r="J218" s="1669" t="s">
        <v>353</v>
      </c>
      <c r="K218" s="1203">
        <f ca="1">CELL("row",'記入シート'!D145)</f>
        <v>145</v>
      </c>
      <c r="L218" s="1829">
        <v>2</v>
      </c>
      <c r="M218" s="1828">
        <f>M189</f>
        <v>135</v>
      </c>
      <c r="N218" s="1663" t="s">
        <v>8</v>
      </c>
      <c r="O218" s="1661">
        <f>IF(G218=0,0,1)</f>
        <v>0</v>
      </c>
      <c r="P218" s="1203" t="s">
        <v>453</v>
      </c>
      <c r="Q218" s="503" t="s">
        <v>6</v>
      </c>
      <c r="R218" s="313"/>
      <c r="S218" s="313"/>
      <c r="T218" s="313"/>
    </row>
    <row r="219" spans="2:20" ht="19.5" customHeight="1">
      <c r="B219" s="1674"/>
      <c r="C219" s="1674"/>
      <c r="D219" s="1700"/>
      <c r="E219" s="314"/>
      <c r="F219" s="315" t="s">
        <v>2</v>
      </c>
      <c r="G219" s="1448">
        <f>L218-G218</f>
        <v>2</v>
      </c>
      <c r="H219" s="1449"/>
      <c r="I219" s="222" t="s">
        <v>452</v>
      </c>
      <c r="J219" s="1670"/>
      <c r="K219" s="1195"/>
      <c r="L219" s="1690"/>
      <c r="M219" s="1819"/>
      <c r="N219" s="1664"/>
      <c r="O219" s="1662"/>
      <c r="P219" s="1195"/>
      <c r="Q219" s="986">
        <f>IF(G191=0,"",IF(O218=0,REPT("　",5*O220),CONCATENATE(REPT("　",G219),LEFT('記入シート'!D145,L218),"／",REPT("　",G221),LEFT('記入シート'!G145,L220),REPT("　",5*O220))))</f>
      </c>
      <c r="R219" s="313"/>
      <c r="S219" s="313"/>
      <c r="T219" s="313"/>
    </row>
    <row r="220" spans="2:20" ht="19.5" customHeight="1">
      <c r="B220" s="1674"/>
      <c r="C220" s="1674"/>
      <c r="D220" s="1700"/>
      <c r="E220" s="314"/>
      <c r="F220" s="315" t="s">
        <v>3</v>
      </c>
      <c r="G220" s="1448">
        <f>LEN(LEFT('記入シート'!G145,2))</f>
        <v>0</v>
      </c>
      <c r="H220" s="1449"/>
      <c r="I220" s="222" t="s">
        <v>452</v>
      </c>
      <c r="J220" s="1670" t="s">
        <v>354</v>
      </c>
      <c r="K220" s="1194">
        <f ca="1">CELL("row",'記入シート'!G145)</f>
        <v>145</v>
      </c>
      <c r="L220" s="1690">
        <v>2</v>
      </c>
      <c r="M220" s="1703">
        <f>M189</f>
        <v>135</v>
      </c>
      <c r="N220" s="1665" t="s">
        <v>147</v>
      </c>
      <c r="O220" s="1667">
        <f>O212-O218</f>
        <v>0</v>
      </c>
      <c r="P220" s="1194" t="s">
        <v>453</v>
      </c>
      <c r="Q220" s="987"/>
      <c r="R220" s="313"/>
      <c r="S220" s="313"/>
      <c r="T220" s="313"/>
    </row>
    <row r="221" spans="2:20" ht="19.5" customHeight="1">
      <c r="B221" s="1674"/>
      <c r="C221" s="1674"/>
      <c r="D221" s="1700"/>
      <c r="E221" s="317" t="s">
        <v>403</v>
      </c>
      <c r="F221" s="315" t="s">
        <v>461</v>
      </c>
      <c r="G221" s="1448">
        <f>L220-G220</f>
        <v>2</v>
      </c>
      <c r="H221" s="1449"/>
      <c r="I221" s="222" t="s">
        <v>452</v>
      </c>
      <c r="J221" s="1670"/>
      <c r="K221" s="1195"/>
      <c r="L221" s="1690"/>
      <c r="M221" s="1703"/>
      <c r="N221" s="1698"/>
      <c r="O221" s="1662"/>
      <c r="P221" s="1195"/>
      <c r="Q221" s="988"/>
      <c r="R221" s="313"/>
      <c r="S221" s="313"/>
      <c r="T221" s="313"/>
    </row>
    <row r="222" spans="2:20" ht="19.5" customHeight="1">
      <c r="B222" s="1674"/>
      <c r="C222" s="1674"/>
      <c r="D222" s="1700"/>
      <c r="E222" s="317" t="s">
        <v>260</v>
      </c>
      <c r="F222" s="315" t="s">
        <v>4</v>
      </c>
      <c r="G222" s="1448">
        <f>LEN(LEFT('記入シート'!N145,2))</f>
        <v>0</v>
      </c>
      <c r="H222" s="1449"/>
      <c r="I222" s="222" t="s">
        <v>452</v>
      </c>
      <c r="J222" s="1670" t="s">
        <v>355</v>
      </c>
      <c r="K222" s="1194">
        <f ca="1">CELL("row",'記入シート'!N145)</f>
        <v>145</v>
      </c>
      <c r="L222" s="1690">
        <v>2</v>
      </c>
      <c r="M222" s="1703">
        <f>M189</f>
        <v>135</v>
      </c>
      <c r="N222" s="1833" t="s">
        <v>178</v>
      </c>
      <c r="O222" s="1667">
        <f>IF(G222=0,0,1)</f>
        <v>0</v>
      </c>
      <c r="P222" s="1194" t="s">
        <v>453</v>
      </c>
      <c r="Q222" s="503" t="s">
        <v>7</v>
      </c>
      <c r="R222" s="313"/>
      <c r="S222" s="313"/>
      <c r="T222" s="313"/>
    </row>
    <row r="223" spans="2:20" ht="19.5" customHeight="1">
      <c r="B223" s="1674"/>
      <c r="C223" s="1674"/>
      <c r="D223" s="1700"/>
      <c r="E223" s="314"/>
      <c r="F223" s="315" t="s">
        <v>5</v>
      </c>
      <c r="G223" s="1448">
        <f>L222-G222</f>
        <v>2</v>
      </c>
      <c r="H223" s="1449"/>
      <c r="I223" s="222" t="s">
        <v>452</v>
      </c>
      <c r="J223" s="1670"/>
      <c r="K223" s="1195"/>
      <c r="L223" s="1690"/>
      <c r="M223" s="1703"/>
      <c r="N223" s="1664"/>
      <c r="O223" s="1662"/>
      <c r="P223" s="1195"/>
      <c r="Q223" s="986">
        <f>IF(G191=0,"",IF(O222=0,REPT("　",5*O224),CONCATENATE(REPT("　",G223),LEFT('記入シート'!N145,L222),"／",REPT("　",G225),LEFT('記入シート'!Q145,L224),REPT("　",5*O224))))</f>
      </c>
      <c r="R223" s="313"/>
      <c r="S223" s="313"/>
      <c r="T223" s="313"/>
    </row>
    <row r="224" spans="2:20" ht="19.5" customHeight="1">
      <c r="B224" s="1674"/>
      <c r="C224" s="1674"/>
      <c r="D224" s="1700"/>
      <c r="E224" s="314"/>
      <c r="F224" s="315" t="s">
        <v>462</v>
      </c>
      <c r="G224" s="1448">
        <f>LEN(LEFT('記入シート'!Q145,2))</f>
        <v>0</v>
      </c>
      <c r="H224" s="1449"/>
      <c r="I224" s="222" t="s">
        <v>452</v>
      </c>
      <c r="J224" s="1670" t="s">
        <v>356</v>
      </c>
      <c r="K224" s="1194">
        <f ca="1">CELL("row",'記入シート'!Q145)</f>
        <v>145</v>
      </c>
      <c r="L224" s="1690">
        <v>2</v>
      </c>
      <c r="M224" s="1703">
        <f>M189</f>
        <v>135</v>
      </c>
      <c r="N224" s="1665" t="s">
        <v>180</v>
      </c>
      <c r="O224" s="1667">
        <f>O212-O222</f>
        <v>0</v>
      </c>
      <c r="P224" s="1194" t="s">
        <v>453</v>
      </c>
      <c r="Q224" s="987"/>
      <c r="R224" s="313"/>
      <c r="S224" s="313"/>
      <c r="T224" s="313"/>
    </row>
    <row r="225" spans="2:20" ht="19.5" customHeight="1" thickBot="1">
      <c r="B225" s="1674"/>
      <c r="C225" s="1674"/>
      <c r="D225" s="1700"/>
      <c r="E225" s="659"/>
      <c r="F225" s="315" t="s">
        <v>463</v>
      </c>
      <c r="G225" s="1496">
        <f>L224-G224</f>
        <v>2</v>
      </c>
      <c r="H225" s="1497"/>
      <c r="I225" s="222" t="s">
        <v>452</v>
      </c>
      <c r="J225" s="1687"/>
      <c r="K225" s="1196"/>
      <c r="L225" s="1809"/>
      <c r="M225" s="1819"/>
      <c r="N225" s="1666"/>
      <c r="O225" s="1668"/>
      <c r="P225" s="1196"/>
      <c r="Q225" s="989"/>
      <c r="R225" s="313"/>
      <c r="S225" s="313"/>
      <c r="T225" s="313"/>
    </row>
    <row r="226" spans="2:20" ht="19.5" customHeight="1">
      <c r="B226" s="1674"/>
      <c r="C226" s="1674"/>
      <c r="D226" s="1700"/>
      <c r="E226" s="660" t="s">
        <v>404</v>
      </c>
      <c r="F226" s="329" t="s">
        <v>420</v>
      </c>
      <c r="G226" s="1450">
        <f>IF('記入シート'!C148=0,0,1)</f>
        <v>0</v>
      </c>
      <c r="H226" s="1451"/>
      <c r="I226" s="274" t="s">
        <v>452</v>
      </c>
      <c r="J226" s="1688" t="s">
        <v>351</v>
      </c>
      <c r="K226" s="1197">
        <f ca="1">CELL("row",'記入シート'!C148)</f>
        <v>148</v>
      </c>
      <c r="L226" s="1691">
        <f>$L$66</f>
        <v>1</v>
      </c>
      <c r="M226" s="1705">
        <f>M189</f>
        <v>135</v>
      </c>
      <c r="N226" s="1663" t="s">
        <v>10</v>
      </c>
      <c r="O226" s="1661">
        <f>IF(G226=0,0,1)</f>
        <v>0</v>
      </c>
      <c r="P226" s="1203" t="s">
        <v>453</v>
      </c>
      <c r="Q226" s="639">
        <f>IF(G191=0,"",CONCATENATE(LEFT('記入シート'!C148,1),REPT("　",O228)))</f>
      </c>
      <c r="R226" s="313"/>
      <c r="S226" s="313"/>
      <c r="T226" s="313"/>
    </row>
    <row r="227" spans="2:20" ht="19.5" customHeight="1">
      <c r="B227" s="1674"/>
      <c r="C227" s="1674"/>
      <c r="D227" s="1700"/>
      <c r="E227" s="317" t="s">
        <v>261</v>
      </c>
      <c r="F227" s="315" t="s">
        <v>460</v>
      </c>
      <c r="G227" s="1448">
        <f>L226-G226</f>
        <v>1</v>
      </c>
      <c r="H227" s="1449"/>
      <c r="I227" s="222" t="s">
        <v>452</v>
      </c>
      <c r="J227" s="1689"/>
      <c r="K227" s="1198"/>
      <c r="L227" s="1692"/>
      <c r="M227" s="1706"/>
      <c r="N227" s="1664"/>
      <c r="O227" s="1662"/>
      <c r="P227" s="1195"/>
      <c r="Q227" s="363"/>
      <c r="R227" s="313"/>
      <c r="S227" s="313"/>
      <c r="T227" s="313"/>
    </row>
    <row r="228" spans="2:20" ht="19.5" customHeight="1" thickBot="1">
      <c r="B228" s="1674"/>
      <c r="C228" s="1674"/>
      <c r="D228" s="1700"/>
      <c r="E228" s="366"/>
      <c r="F228" s="330" t="s">
        <v>158</v>
      </c>
      <c r="G228" s="272" t="s">
        <v>159</v>
      </c>
      <c r="H228" s="367">
        <f>WIDECHAR('記入シート'!C148)</f>
      </c>
      <c r="I228" s="271" t="s">
        <v>160</v>
      </c>
      <c r="J228" s="1672"/>
      <c r="K228" s="1199"/>
      <c r="L228" s="1693"/>
      <c r="M228" s="1707"/>
      <c r="N228" s="276" t="s">
        <v>148</v>
      </c>
      <c r="O228" s="794">
        <f>O212-O226</f>
        <v>0</v>
      </c>
      <c r="P228" s="222" t="s">
        <v>453</v>
      </c>
      <c r="Q228" s="313"/>
      <c r="R228" s="313"/>
      <c r="S228" s="313"/>
      <c r="T228" s="313"/>
    </row>
    <row r="229" spans="2:20" ht="19.5" customHeight="1" thickTop="1">
      <c r="B229" s="1673" t="s">
        <v>106</v>
      </c>
      <c r="C229" s="1673" t="s">
        <v>400</v>
      </c>
      <c r="D229" s="1882" t="s">
        <v>12</v>
      </c>
      <c r="E229" s="344" t="s">
        <v>13</v>
      </c>
      <c r="F229" s="1036"/>
      <c r="G229" s="1717">
        <f>O54+O92+O132+O172+O212</f>
        <v>0</v>
      </c>
      <c r="H229" s="1718"/>
      <c r="I229" s="1037" t="s">
        <v>453</v>
      </c>
      <c r="J229" s="1056" t="s">
        <v>400</v>
      </c>
      <c r="K229" s="1041"/>
      <c r="L229" s="1042"/>
      <c r="M229" s="1038" t="str">
        <f>IF(G236="OVER","※＃１は超過しているため表示できません",CONCATENATE(Q32,Q69,Q109,Q149,Q189,REPT("　",(G233-G229+G239)*L32)))</f>
        <v>　　　　　　　　　　　　　　　　　　　</v>
      </c>
      <c r="N229" s="368"/>
      <c r="O229" s="368"/>
      <c r="P229" s="368"/>
      <c r="Q229" s="368"/>
      <c r="R229" s="368"/>
      <c r="S229" s="368"/>
      <c r="T229" s="368"/>
    </row>
    <row r="230" spans="2:20" ht="19.5" customHeight="1">
      <c r="B230" s="1674"/>
      <c r="C230" s="1674"/>
      <c r="D230" s="1883"/>
      <c r="E230" s="1683" t="s">
        <v>14</v>
      </c>
      <c r="F230" s="1684"/>
      <c r="G230" s="1119" t="str">
        <f>IF(G229&gt;G32/L32,"OVER","INSIDE")</f>
        <v>INSIDE</v>
      </c>
      <c r="H230" s="1508"/>
      <c r="I230" s="1515"/>
      <c r="J230" s="1053" t="s">
        <v>401</v>
      </c>
      <c r="K230" s="1054"/>
      <c r="L230" s="1055"/>
      <c r="M230" s="369" t="str">
        <f>IF(G236="OVER","※ OVER",CONCATENATE(Q40,Q77,Q117,Q157,Q197,REPT("　",(G233-G229+G239)*L40)))</f>
        <v>　　　　　　</v>
      </c>
      <c r="N230" s="370"/>
      <c r="O230" s="370"/>
      <c r="P230" s="370"/>
      <c r="Q230" s="370"/>
      <c r="R230" s="370"/>
      <c r="S230" s="370"/>
      <c r="T230" s="370"/>
    </row>
    <row r="231" spans="2:20" ht="19.5" customHeight="1">
      <c r="B231" s="1674"/>
      <c r="C231" s="1674"/>
      <c r="D231" s="1883"/>
      <c r="E231" s="1685"/>
      <c r="F231" s="1686"/>
      <c r="G231" s="1113"/>
      <c r="H231" s="1108"/>
      <c r="I231" s="1516"/>
      <c r="J231" s="1191" t="s">
        <v>402</v>
      </c>
      <c r="K231" s="1192"/>
      <c r="L231" s="1193"/>
      <c r="M231" s="371" t="str">
        <f>IF(G230="OVER","※ OVER",CONCATENATE(Q49,Q87,Q127,Q167,Q207,REPT("　",(G233-G229+G239)*L49)))</f>
        <v>　　　　　　</v>
      </c>
      <c r="N231" s="372"/>
      <c r="O231" s="372"/>
      <c r="P231" s="372"/>
      <c r="Q231" s="372"/>
      <c r="R231" s="372"/>
      <c r="S231" s="372"/>
      <c r="T231" s="372"/>
    </row>
    <row r="232" spans="2:20" ht="19.5" customHeight="1">
      <c r="B232" s="1674"/>
      <c r="C232" s="1674"/>
      <c r="D232" s="1883"/>
      <c r="E232" s="373" t="s">
        <v>323</v>
      </c>
      <c r="F232" s="318"/>
      <c r="G232" s="1448">
        <f>G8*27-G233-G239</f>
        <v>134</v>
      </c>
      <c r="H232" s="1449"/>
      <c r="I232" s="278" t="s">
        <v>453</v>
      </c>
      <c r="J232" s="1068" t="s">
        <v>6</v>
      </c>
      <c r="K232" s="1057"/>
      <c r="L232" s="1058"/>
      <c r="M232" s="374" t="str">
        <f>IF(G236="OVER","※OVER",CONCATENATE(Q59,Q99,Q139,Q179,Q219,REPT("　",(G233-G229+G239)*5)))</f>
        <v>　　　　　</v>
      </c>
      <c r="N232" s="375"/>
      <c r="O232" s="375"/>
      <c r="P232" s="375"/>
      <c r="Q232" s="375"/>
      <c r="R232" s="375"/>
      <c r="S232" s="375"/>
      <c r="T232" s="375"/>
    </row>
    <row r="233" spans="2:20" ht="19.5" customHeight="1">
      <c r="B233" s="1674"/>
      <c r="C233" s="1674"/>
      <c r="D233" s="1883"/>
      <c r="E233" s="1683" t="s">
        <v>15</v>
      </c>
      <c r="F233" s="1684"/>
      <c r="G233" s="1667">
        <f>MAX(G15,G22,G29,G229)</f>
        <v>0</v>
      </c>
      <c r="H233" s="1922"/>
      <c r="I233" s="1920" t="s">
        <v>453</v>
      </c>
      <c r="J233" s="1065" t="s">
        <v>7</v>
      </c>
      <c r="K233" s="1066"/>
      <c r="L233" s="1067"/>
      <c r="M233" s="376" t="str">
        <f>IF(G236="OVER","※OVER",CONCATENATE(Q63,Q103,Q143,Q183,Q223,REPT("　",(G233-G229+G239)*5)))</f>
        <v>　　　　　</v>
      </c>
      <c r="N233" s="377"/>
      <c r="O233" s="377"/>
      <c r="P233" s="377"/>
      <c r="Q233" s="377"/>
      <c r="R233" s="377"/>
      <c r="S233" s="377"/>
      <c r="T233" s="377"/>
    </row>
    <row r="234" spans="2:20" ht="19.5" customHeight="1">
      <c r="B234" s="1806"/>
      <c r="C234" s="1806"/>
      <c r="D234" s="1884"/>
      <c r="E234" s="1685"/>
      <c r="F234" s="1686"/>
      <c r="G234" s="1662"/>
      <c r="H234" s="1923"/>
      <c r="I234" s="1921"/>
      <c r="J234" s="1079" t="s">
        <v>404</v>
      </c>
      <c r="K234" s="1080"/>
      <c r="L234" s="1075"/>
      <c r="M234" s="378" t="str">
        <f>IF(G236="OVER","※",CONCATENATE(Q66,Q106,Q146,Q186,Q226,REPT("　",(G233-G229+G239))))</f>
        <v>　</v>
      </c>
      <c r="N234" s="379"/>
      <c r="O234" s="379"/>
      <c r="P234" s="379"/>
      <c r="Q234" s="379"/>
      <c r="R234" s="379"/>
      <c r="S234" s="379"/>
      <c r="T234" s="379"/>
    </row>
    <row r="235" spans="2:20" ht="19.5" customHeight="1">
      <c r="B235" s="1917" t="s">
        <v>491</v>
      </c>
      <c r="C235" s="1918"/>
      <c r="D235" s="1918"/>
      <c r="E235" s="1918"/>
      <c r="F235" s="1919"/>
      <c r="G235" s="1448">
        <f>MIN(G15,G22,G29,G229)</f>
        <v>0</v>
      </c>
      <c r="H235" s="1449"/>
      <c r="I235" s="271" t="s">
        <v>453</v>
      </c>
      <c r="J235" s="1025"/>
      <c r="K235" s="980"/>
      <c r="L235" s="804"/>
      <c r="M235" s="805"/>
      <c r="N235" s="805"/>
      <c r="O235" s="805"/>
      <c r="P235" s="805"/>
      <c r="Q235" s="805"/>
      <c r="R235" s="805"/>
      <c r="S235" s="805"/>
      <c r="T235" s="805"/>
    </row>
    <row r="236" spans="2:20" ht="19.5" customHeight="1">
      <c r="B236" s="1915" t="s">
        <v>174</v>
      </c>
      <c r="C236" s="1916"/>
      <c r="D236" s="1916"/>
      <c r="E236" s="1916"/>
      <c r="F236" s="1194"/>
      <c r="G236" s="1119" t="str">
        <f>IF(MAX(G15,G22,G29,G229)&gt;M10,"OVER","INSIDE")</f>
        <v>INSIDE</v>
      </c>
      <c r="H236" s="1508"/>
      <c r="I236" s="1120"/>
      <c r="J236" s="1024"/>
      <c r="K236" s="380"/>
      <c r="L236" s="774"/>
      <c r="M236" s="380"/>
      <c r="N236" s="380"/>
      <c r="O236" s="380"/>
      <c r="P236" s="380"/>
      <c r="Q236" s="380"/>
      <c r="R236" s="380"/>
      <c r="S236" s="380"/>
      <c r="T236" s="380"/>
    </row>
    <row r="237" spans="2:20" ht="19.5" customHeight="1">
      <c r="B237" s="373" t="s">
        <v>37</v>
      </c>
      <c r="C237" s="278"/>
      <c r="D237" s="278"/>
      <c r="E237" s="278"/>
      <c r="F237" s="271"/>
      <c r="G237" s="1448">
        <f>G233</f>
        <v>0</v>
      </c>
      <c r="H237" s="1449"/>
      <c r="I237" s="271" t="s">
        <v>453</v>
      </c>
      <c r="J237" s="1018"/>
      <c r="K237" s="380"/>
      <c r="L237" s="774"/>
      <c r="M237" s="380"/>
      <c r="N237" s="380"/>
      <c r="O237" s="380"/>
      <c r="P237" s="380"/>
      <c r="Q237" s="380"/>
      <c r="R237" s="380"/>
      <c r="S237" s="380"/>
      <c r="T237" s="380"/>
    </row>
    <row r="238" spans="2:20" ht="19.5" customHeight="1">
      <c r="B238" s="373" t="s">
        <v>53</v>
      </c>
      <c r="C238" s="278"/>
      <c r="D238" s="278"/>
      <c r="E238" s="278"/>
      <c r="F238" s="271"/>
      <c r="G238" s="1703" t="str">
        <f>IF(L238=TRUE,"最終行","最終以外")</f>
        <v>最終以外</v>
      </c>
      <c r="H238" s="1924"/>
      <c r="I238" s="1925"/>
      <c r="J238" s="1061" t="s">
        <v>43</v>
      </c>
      <c r="K238" s="1062"/>
      <c r="L238" s="819" t="b">
        <f>OR(G237=27,G237=54,G237=81,G237=108,G237=135)</f>
        <v>0</v>
      </c>
      <c r="M238" s="380"/>
      <c r="N238" s="380"/>
      <c r="O238" s="380"/>
      <c r="P238" s="380"/>
      <c r="Q238" s="380"/>
      <c r="R238" s="380"/>
      <c r="S238" s="380"/>
      <c r="T238" s="380"/>
    </row>
    <row r="239" spans="2:20" ht="19.5" customHeight="1" thickBot="1">
      <c r="B239" s="834" t="s">
        <v>38</v>
      </c>
      <c r="C239" s="332"/>
      <c r="D239" s="332"/>
      <c r="E239" s="332"/>
      <c r="F239" s="222"/>
      <c r="G239" s="1667">
        <f>IF(G238="最終行",0,1)</f>
        <v>1</v>
      </c>
      <c r="H239" s="1922"/>
      <c r="I239" s="283"/>
      <c r="J239" s="1063" t="s">
        <v>54</v>
      </c>
      <c r="K239" s="1064"/>
      <c r="L239" s="1064"/>
      <c r="M239" s="1064"/>
      <c r="N239" s="1064"/>
      <c r="O239" s="1064"/>
      <c r="P239" s="1064"/>
      <c r="Q239" s="380"/>
      <c r="R239" s="380"/>
      <c r="S239" s="380"/>
      <c r="T239" s="380"/>
    </row>
    <row r="240" spans="2:20" ht="19.5" customHeight="1" thickBot="1">
      <c r="B240" s="1758" t="s">
        <v>165</v>
      </c>
      <c r="C240" s="1759"/>
      <c r="D240" s="1759"/>
      <c r="E240" s="1759"/>
      <c r="F240" s="1760"/>
      <c r="G240" s="1397">
        <f>IF(G232-G239&lt;0,0,G232-G239)</f>
        <v>133</v>
      </c>
      <c r="H240" s="1398"/>
      <c r="I240" s="836" t="s">
        <v>453</v>
      </c>
      <c r="J240" s="1026"/>
      <c r="K240" s="835"/>
      <c r="L240" s="810"/>
      <c r="M240" s="835"/>
      <c r="N240" s="835"/>
      <c r="O240" s="835"/>
      <c r="P240" s="835"/>
      <c r="Q240" s="380"/>
      <c r="R240" s="380"/>
      <c r="S240" s="380"/>
      <c r="T240" s="380"/>
    </row>
    <row r="241" spans="2:20" ht="19.5" customHeight="1" thickBot="1">
      <c r="B241" s="376" t="s">
        <v>324</v>
      </c>
      <c r="C241" s="377"/>
      <c r="D241" s="377"/>
      <c r="E241" s="377"/>
      <c r="F241" s="377"/>
      <c r="G241" s="377"/>
      <c r="H241" s="377"/>
      <c r="I241" s="377"/>
      <c r="J241" s="1190">
        <f>IF(G240-G514-G239&lt;0,0,G240-G514-G239)</f>
        <v>132</v>
      </c>
      <c r="K241" s="1190"/>
      <c r="L241" s="837" t="s">
        <v>325</v>
      </c>
      <c r="M241" s="835"/>
      <c r="N241" s="835"/>
      <c r="O241" s="835"/>
      <c r="P241" s="835"/>
      <c r="Q241" s="380"/>
      <c r="R241" s="380"/>
      <c r="S241" s="380"/>
      <c r="T241" s="380"/>
    </row>
    <row r="242" spans="2:20" ht="19.5" customHeight="1" thickTop="1">
      <c r="B242" s="1761" t="s">
        <v>107</v>
      </c>
      <c r="C242" s="1346" t="s">
        <v>443</v>
      </c>
      <c r="D242" s="841" t="s">
        <v>437</v>
      </c>
      <c r="E242" s="842"/>
      <c r="F242" s="843"/>
      <c r="G242" s="1427">
        <f>G240*L242</f>
        <v>1596</v>
      </c>
      <c r="H242" s="1428"/>
      <c r="I242" s="843" t="s">
        <v>452</v>
      </c>
      <c r="J242" s="1790" t="s">
        <v>351</v>
      </c>
      <c r="K242" s="1804">
        <f ca="1">CELL("row",'記入シート'!C154)</f>
        <v>154</v>
      </c>
      <c r="L242" s="1803">
        <f>$L$10</f>
        <v>12</v>
      </c>
      <c r="M242" s="1426">
        <f>G250/L242</f>
        <v>132</v>
      </c>
      <c r="N242" s="1906" t="s">
        <v>444</v>
      </c>
      <c r="O242" s="1764">
        <f>G500-G247+G518</f>
        <v>1</v>
      </c>
      <c r="P242" s="1765" t="s">
        <v>453</v>
      </c>
      <c r="Q242" s="1361" t="str">
        <f>IF(G503="OVER","＃２は超過につき表示不可",IF(G244=0,REPT("　",(G500+G518)*L242),IF(G253="OVER",CONCATENATE(REPT("　",G514*L242),"※　文字数が多過ぎます　※"),CONCATENATE(REPT("　",G514*L242),"＃２　",'記入シート'!C154,REPT("　",O244),))))</f>
        <v>　　　　　　　　　　　　</v>
      </c>
      <c r="R242" s="1362"/>
      <c r="S242" s="1363"/>
      <c r="T242" s="381"/>
    </row>
    <row r="243" spans="2:20" ht="19.5" customHeight="1">
      <c r="B243" s="1357"/>
      <c r="C243" s="1346"/>
      <c r="D243" s="841" t="s">
        <v>327</v>
      </c>
      <c r="E243" s="842"/>
      <c r="F243" s="843"/>
      <c r="G243" s="1434">
        <f>IF(G242&gt;3,G242-3,0)</f>
        <v>1593</v>
      </c>
      <c r="H243" s="1435"/>
      <c r="I243" s="843" t="s">
        <v>452</v>
      </c>
      <c r="J243" s="1402"/>
      <c r="K243" s="1187"/>
      <c r="L243" s="1405"/>
      <c r="M243" s="1408"/>
      <c r="N243" s="1412"/>
      <c r="O243" s="1415"/>
      <c r="P243" s="1418"/>
      <c r="Q243" s="1364"/>
      <c r="R243" s="1365"/>
      <c r="S243" s="1366"/>
      <c r="T243" s="381"/>
    </row>
    <row r="244" spans="2:20" ht="19.5" customHeight="1">
      <c r="B244" s="1357"/>
      <c r="C244" s="1346"/>
      <c r="D244" s="844" t="s">
        <v>328</v>
      </c>
      <c r="E244" s="845"/>
      <c r="F244" s="846"/>
      <c r="G244" s="1434">
        <f>LEN('記入シート'!C154)</f>
        <v>0</v>
      </c>
      <c r="H244" s="1435"/>
      <c r="I244" s="846" t="s">
        <v>452</v>
      </c>
      <c r="J244" s="1402"/>
      <c r="K244" s="1187"/>
      <c r="L244" s="1405"/>
      <c r="M244" s="1408"/>
      <c r="N244" s="388" t="s">
        <v>445</v>
      </c>
      <c r="O244" s="389">
        <f>ABS(G248)+O242*$L$10</f>
        <v>12</v>
      </c>
      <c r="P244" s="390" t="s">
        <v>452</v>
      </c>
      <c r="Q244" s="1364"/>
      <c r="R244" s="1365"/>
      <c r="S244" s="1366"/>
      <c r="T244" s="381"/>
    </row>
    <row r="245" spans="2:20" ht="19.5" customHeight="1">
      <c r="B245" s="1357"/>
      <c r="C245" s="1346"/>
      <c r="D245" s="844" t="s">
        <v>167</v>
      </c>
      <c r="E245" s="845"/>
      <c r="F245" s="846"/>
      <c r="G245" s="1755" t="str">
        <f>IF(G244&gt;G243,"OVER","INSIDE")</f>
        <v>INSIDE</v>
      </c>
      <c r="H245" s="1756"/>
      <c r="I245" s="1757"/>
      <c r="J245" s="1402"/>
      <c r="K245" s="1187"/>
      <c r="L245" s="1405"/>
      <c r="M245" s="1408"/>
      <c r="N245" s="391"/>
      <c r="O245" s="392"/>
      <c r="P245" s="393"/>
      <c r="Q245" s="1364"/>
      <c r="R245" s="1365"/>
      <c r="S245" s="1366"/>
      <c r="T245" s="381"/>
    </row>
    <row r="246" spans="2:20" ht="19.5" customHeight="1">
      <c r="B246" s="1357"/>
      <c r="C246" s="1346"/>
      <c r="D246" s="1431" t="s">
        <v>173</v>
      </c>
      <c r="E246" s="1432"/>
      <c r="F246" s="1433"/>
      <c r="G246" s="1399">
        <f>IF(G244=0,0,IF(G245="OVER",0,G244+3))</f>
        <v>0</v>
      </c>
      <c r="H246" s="1400"/>
      <c r="I246" s="387" t="s">
        <v>452</v>
      </c>
      <c r="J246" s="1402"/>
      <c r="K246" s="1187"/>
      <c r="L246" s="1405"/>
      <c r="M246" s="1408"/>
      <c r="N246" s="394"/>
      <c r="O246" s="395"/>
      <c r="P246" s="396"/>
      <c r="Q246" s="1364"/>
      <c r="R246" s="1365"/>
      <c r="S246" s="1366"/>
      <c r="T246" s="381"/>
    </row>
    <row r="247" spans="2:20" ht="19.5" customHeight="1">
      <c r="B247" s="1357"/>
      <c r="C247" s="1346"/>
      <c r="D247" s="397" t="s">
        <v>451</v>
      </c>
      <c r="E247" s="377"/>
      <c r="F247" s="387"/>
      <c r="G247" s="1399">
        <f>ROUNDUP(G246/L242,0)</f>
        <v>0</v>
      </c>
      <c r="H247" s="1400"/>
      <c r="I247" s="387" t="s">
        <v>453</v>
      </c>
      <c r="J247" s="1402"/>
      <c r="K247" s="1187"/>
      <c r="L247" s="1405"/>
      <c r="M247" s="1408"/>
      <c r="N247" s="394"/>
      <c r="O247" s="395"/>
      <c r="P247" s="396"/>
      <c r="Q247" s="1364"/>
      <c r="R247" s="1365"/>
      <c r="S247" s="1366"/>
      <c r="T247" s="381"/>
    </row>
    <row r="248" spans="2:20" ht="19.5" customHeight="1">
      <c r="B248" s="1357"/>
      <c r="C248" s="1346"/>
      <c r="D248" s="397" t="s">
        <v>419</v>
      </c>
      <c r="E248" s="377"/>
      <c r="F248" s="387"/>
      <c r="G248" s="1399">
        <f>G246-G247*L242</f>
        <v>0</v>
      </c>
      <c r="H248" s="1400"/>
      <c r="I248" s="387" t="s">
        <v>452</v>
      </c>
      <c r="J248" s="1402"/>
      <c r="K248" s="1187"/>
      <c r="L248" s="1405"/>
      <c r="M248" s="1408"/>
      <c r="N248" s="394"/>
      <c r="O248" s="395"/>
      <c r="P248" s="396"/>
      <c r="Q248" s="1364"/>
      <c r="R248" s="1365"/>
      <c r="S248" s="1366"/>
      <c r="T248" s="381"/>
    </row>
    <row r="249" spans="2:20" ht="19.5" customHeight="1" thickBot="1">
      <c r="B249" s="1357"/>
      <c r="C249" s="1346"/>
      <c r="D249" s="898" t="s">
        <v>423</v>
      </c>
      <c r="E249" s="899"/>
      <c r="F249" s="398"/>
      <c r="G249" s="1429">
        <f>G247*L242</f>
        <v>0</v>
      </c>
      <c r="H249" s="1430"/>
      <c r="I249" s="398" t="s">
        <v>452</v>
      </c>
      <c r="J249" s="1402"/>
      <c r="K249" s="1187"/>
      <c r="L249" s="1405"/>
      <c r="M249" s="1408"/>
      <c r="N249" s="394"/>
      <c r="O249" s="395"/>
      <c r="P249" s="396"/>
      <c r="Q249" s="1364"/>
      <c r="R249" s="1365"/>
      <c r="S249" s="1366"/>
      <c r="T249" s="381"/>
    </row>
    <row r="250" spans="2:20" ht="19.5" customHeight="1">
      <c r="B250" s="1357"/>
      <c r="C250" s="1345" t="s">
        <v>332</v>
      </c>
      <c r="D250" s="399" t="s">
        <v>329</v>
      </c>
      <c r="E250" s="400"/>
      <c r="F250" s="401"/>
      <c r="G250" s="1397">
        <f>J241*L242</f>
        <v>1584</v>
      </c>
      <c r="H250" s="1398"/>
      <c r="I250" s="401" t="s">
        <v>452</v>
      </c>
      <c r="J250" s="1402"/>
      <c r="K250" s="1187"/>
      <c r="L250" s="1405"/>
      <c r="M250" s="1408"/>
      <c r="N250" s="394"/>
      <c r="O250" s="395"/>
      <c r="P250" s="396"/>
      <c r="Q250" s="1364"/>
      <c r="R250" s="1365"/>
      <c r="S250" s="1366"/>
      <c r="T250" s="381"/>
    </row>
    <row r="251" spans="2:20" ht="19.5" customHeight="1">
      <c r="B251" s="1357"/>
      <c r="C251" s="1346"/>
      <c r="D251" s="397" t="s">
        <v>330</v>
      </c>
      <c r="E251" s="377"/>
      <c r="F251" s="387"/>
      <c r="G251" s="1206">
        <f>IF(G250&gt;3,G250-3,0)</f>
        <v>1581</v>
      </c>
      <c r="H251" s="1207"/>
      <c r="I251" s="797" t="s">
        <v>452</v>
      </c>
      <c r="J251" s="1402"/>
      <c r="K251" s="1187"/>
      <c r="L251" s="1405"/>
      <c r="M251" s="1408"/>
      <c r="N251" s="394"/>
      <c r="O251" s="395"/>
      <c r="P251" s="396"/>
      <c r="Q251" s="1364"/>
      <c r="R251" s="1365"/>
      <c r="S251" s="1366"/>
      <c r="T251" s="381"/>
    </row>
    <row r="252" spans="2:20" ht="19.5" customHeight="1">
      <c r="B252" s="1357"/>
      <c r="C252" s="1346"/>
      <c r="D252" s="397" t="s">
        <v>331</v>
      </c>
      <c r="E252" s="377"/>
      <c r="F252" s="387"/>
      <c r="G252" s="1429">
        <f>LEN('記入シート'!C154)</f>
        <v>0</v>
      </c>
      <c r="H252" s="1430"/>
      <c r="I252" s="384" t="s">
        <v>452</v>
      </c>
      <c r="J252" s="1402"/>
      <c r="K252" s="1187"/>
      <c r="L252" s="1405"/>
      <c r="M252" s="1408"/>
      <c r="N252" s="394"/>
      <c r="O252" s="395"/>
      <c r="P252" s="396"/>
      <c r="Q252" s="1364"/>
      <c r="R252" s="1365"/>
      <c r="S252" s="1366"/>
      <c r="T252" s="381"/>
    </row>
    <row r="253" spans="2:20" ht="19.5" customHeight="1" thickBot="1">
      <c r="B253" s="1395"/>
      <c r="C253" s="1346"/>
      <c r="D253" s="382" t="s">
        <v>167</v>
      </c>
      <c r="E253" s="383"/>
      <c r="F253" s="418"/>
      <c r="G253" s="1421" t="str">
        <f>IF(G252&gt;G251,"OVER","INSIDE")</f>
        <v>INSIDE</v>
      </c>
      <c r="H253" s="1422"/>
      <c r="I253" s="1423"/>
      <c r="J253" s="1403"/>
      <c r="K253" s="1188"/>
      <c r="L253" s="1406"/>
      <c r="M253" s="1409"/>
      <c r="N253" s="402"/>
      <c r="O253" s="395"/>
      <c r="P253" s="396"/>
      <c r="Q253" s="1367"/>
      <c r="R253" s="1368"/>
      <c r="S253" s="1369"/>
      <c r="T253" s="381"/>
    </row>
    <row r="254" spans="2:20" ht="19.5" customHeight="1">
      <c r="B254" s="1389" t="s">
        <v>107</v>
      </c>
      <c r="C254" s="1349" t="s">
        <v>417</v>
      </c>
      <c r="D254" s="849" t="s">
        <v>437</v>
      </c>
      <c r="E254" s="850"/>
      <c r="F254" s="851"/>
      <c r="G254" s="1427">
        <f>G240*L254</f>
        <v>1330</v>
      </c>
      <c r="H254" s="1428"/>
      <c r="I254" s="843" t="s">
        <v>452</v>
      </c>
      <c r="J254" s="1424" t="s">
        <v>351</v>
      </c>
      <c r="K254" s="1186">
        <f ca="1">CELL("row",'記入シート'!C160)</f>
        <v>160</v>
      </c>
      <c r="L254" s="1425">
        <f>$L$18</f>
        <v>10</v>
      </c>
      <c r="M254" s="1426">
        <f>M242</f>
        <v>132</v>
      </c>
      <c r="N254" s="1411" t="s">
        <v>444</v>
      </c>
      <c r="O254" s="1764">
        <f>G500-G258+G518</f>
        <v>1</v>
      </c>
      <c r="P254" s="1765" t="s">
        <v>453</v>
      </c>
      <c r="Q254" s="1339" t="str">
        <f>IF(G503="OVER","＃２は超過で表示不可",IF(G255=0,REPT("　",(G500+G518)*L254),IF(G263="OVER",CONCATENATE(REPT("　",G514*L254),"＃２は文字数過多です"),CONCATENATE(REPT("　",G514*L254),'記入シート'!C160,REPT("　",O256)))))</f>
        <v>　　　　　　　　　　</v>
      </c>
      <c r="R254" s="1340"/>
      <c r="S254" s="193"/>
      <c r="T254" s="193"/>
    </row>
    <row r="255" spans="2:20" ht="19.5" customHeight="1">
      <c r="B255" s="1357"/>
      <c r="C255" s="1350"/>
      <c r="D255" s="847" t="s">
        <v>438</v>
      </c>
      <c r="E255" s="848"/>
      <c r="F255" s="843"/>
      <c r="G255" s="1434">
        <f>LEN('記入シート'!C160)</f>
        <v>0</v>
      </c>
      <c r="H255" s="1435"/>
      <c r="I255" s="846" t="s">
        <v>452</v>
      </c>
      <c r="J255" s="1402"/>
      <c r="K255" s="1187"/>
      <c r="L255" s="1405"/>
      <c r="M255" s="1408"/>
      <c r="N255" s="1412"/>
      <c r="O255" s="1415"/>
      <c r="P255" s="1418"/>
      <c r="Q255" s="1341"/>
      <c r="R255" s="1342"/>
      <c r="S255" s="193"/>
      <c r="T255" s="193"/>
    </row>
    <row r="256" spans="2:20" ht="19.5" customHeight="1">
      <c r="B256" s="1357"/>
      <c r="C256" s="1350"/>
      <c r="D256" s="844" t="s">
        <v>167</v>
      </c>
      <c r="E256" s="848"/>
      <c r="F256" s="843"/>
      <c r="G256" s="1755" t="str">
        <f>IF(G255&gt;G254,"OVER","INSIDE")</f>
        <v>INSIDE</v>
      </c>
      <c r="H256" s="1756"/>
      <c r="I256" s="1757"/>
      <c r="J256" s="1402"/>
      <c r="K256" s="1187"/>
      <c r="L256" s="1405"/>
      <c r="M256" s="1408"/>
      <c r="N256" s="388" t="s">
        <v>445</v>
      </c>
      <c r="O256" s="389">
        <f>ABS(G259)+O254*$L$18</f>
        <v>10</v>
      </c>
      <c r="P256" s="390" t="s">
        <v>452</v>
      </c>
      <c r="Q256" s="1341"/>
      <c r="R256" s="1342"/>
      <c r="S256" s="193"/>
      <c r="T256" s="193"/>
    </row>
    <row r="257" spans="2:20" ht="19.5" customHeight="1">
      <c r="B257" s="1357"/>
      <c r="C257" s="1350"/>
      <c r="D257" s="386" t="s">
        <v>170</v>
      </c>
      <c r="E257" s="377"/>
      <c r="F257" s="384"/>
      <c r="G257" s="1399">
        <f>IF(G256="OVER",0,G255)</f>
        <v>0</v>
      </c>
      <c r="H257" s="1400"/>
      <c r="I257" s="387" t="s">
        <v>452</v>
      </c>
      <c r="J257" s="1402"/>
      <c r="K257" s="1187"/>
      <c r="L257" s="1405"/>
      <c r="M257" s="1408"/>
      <c r="N257" s="394"/>
      <c r="O257" s="395"/>
      <c r="P257" s="396"/>
      <c r="Q257" s="1341"/>
      <c r="R257" s="1342"/>
      <c r="S257" s="193"/>
      <c r="T257" s="193"/>
    </row>
    <row r="258" spans="2:20" ht="19.5" customHeight="1">
      <c r="B258" s="1357"/>
      <c r="C258" s="1350"/>
      <c r="D258" s="397" t="s">
        <v>451</v>
      </c>
      <c r="E258" s="377"/>
      <c r="F258" s="384"/>
      <c r="G258" s="1399">
        <f>ROUNDUP(G257/L254,0)</f>
        <v>0</v>
      </c>
      <c r="H258" s="1400"/>
      <c r="I258" s="387" t="s">
        <v>453</v>
      </c>
      <c r="J258" s="1402"/>
      <c r="K258" s="1187"/>
      <c r="L258" s="1405"/>
      <c r="M258" s="1408"/>
      <c r="N258" s="394"/>
      <c r="O258" s="395"/>
      <c r="P258" s="396"/>
      <c r="Q258" s="1341"/>
      <c r="R258" s="1342"/>
      <c r="S258" s="193"/>
      <c r="T258" s="193"/>
    </row>
    <row r="259" spans="2:20" ht="19.5" customHeight="1">
      <c r="B259" s="1357"/>
      <c r="C259" s="1350"/>
      <c r="D259" s="397" t="s">
        <v>439</v>
      </c>
      <c r="E259" s="377"/>
      <c r="F259" s="387"/>
      <c r="G259" s="1399">
        <f>G257-G258*L254</f>
        <v>0</v>
      </c>
      <c r="H259" s="1400"/>
      <c r="I259" s="387" t="s">
        <v>452</v>
      </c>
      <c r="J259" s="1402"/>
      <c r="K259" s="1187"/>
      <c r="L259" s="1405"/>
      <c r="M259" s="1408"/>
      <c r="N259" s="394"/>
      <c r="O259" s="395"/>
      <c r="P259" s="396"/>
      <c r="Q259" s="1341"/>
      <c r="R259" s="1342"/>
      <c r="S259" s="193"/>
      <c r="T259" s="193"/>
    </row>
    <row r="260" spans="2:20" ht="19.5" customHeight="1" thickBot="1">
      <c r="B260" s="1357"/>
      <c r="C260" s="1350"/>
      <c r="D260" s="898" t="s">
        <v>440</v>
      </c>
      <c r="E260" s="899"/>
      <c r="F260" s="398"/>
      <c r="G260" s="1429">
        <f>G258*L254</f>
        <v>0</v>
      </c>
      <c r="H260" s="1430"/>
      <c r="I260" s="398" t="s">
        <v>452</v>
      </c>
      <c r="J260" s="1402"/>
      <c r="K260" s="1187"/>
      <c r="L260" s="1405"/>
      <c r="M260" s="1408"/>
      <c r="N260" s="394"/>
      <c r="O260" s="395"/>
      <c r="P260" s="396"/>
      <c r="Q260" s="1341"/>
      <c r="R260" s="1342"/>
      <c r="S260" s="193"/>
      <c r="T260" s="193"/>
    </row>
    <row r="261" spans="2:20" ht="19.5" customHeight="1">
      <c r="B261" s="1357"/>
      <c r="C261" s="1349" t="s">
        <v>332</v>
      </c>
      <c r="D261" s="399" t="s">
        <v>437</v>
      </c>
      <c r="E261" s="400"/>
      <c r="F261" s="401"/>
      <c r="G261" s="1246">
        <f>J241*L254</f>
        <v>1320</v>
      </c>
      <c r="H261" s="1247"/>
      <c r="I261" s="795" t="s">
        <v>452</v>
      </c>
      <c r="J261" s="1402"/>
      <c r="K261" s="1187"/>
      <c r="L261" s="1405"/>
      <c r="M261" s="1408"/>
      <c r="N261" s="394"/>
      <c r="O261" s="395"/>
      <c r="P261" s="396"/>
      <c r="Q261" s="1341"/>
      <c r="R261" s="1342"/>
      <c r="S261" s="193"/>
      <c r="T261" s="193"/>
    </row>
    <row r="262" spans="2:20" ht="19.5" customHeight="1">
      <c r="B262" s="1357"/>
      <c r="C262" s="1350"/>
      <c r="D262" s="397" t="s">
        <v>438</v>
      </c>
      <c r="E262" s="377"/>
      <c r="F262" s="387"/>
      <c r="G262" s="1399">
        <f>LEN('記入シート'!C160)</f>
        <v>0</v>
      </c>
      <c r="H262" s="1400"/>
      <c r="I262" s="387" t="s">
        <v>452</v>
      </c>
      <c r="J262" s="1402"/>
      <c r="K262" s="1187"/>
      <c r="L262" s="1405"/>
      <c r="M262" s="1408"/>
      <c r="N262" s="394"/>
      <c r="O262" s="395"/>
      <c r="P262" s="396"/>
      <c r="Q262" s="1341"/>
      <c r="R262" s="1342"/>
      <c r="S262" s="193"/>
      <c r="T262" s="193"/>
    </row>
    <row r="263" spans="2:20" ht="19.5" customHeight="1">
      <c r="B263" s="1357"/>
      <c r="C263" s="1350"/>
      <c r="D263" s="386" t="s">
        <v>167</v>
      </c>
      <c r="E263" s="377"/>
      <c r="F263" s="387"/>
      <c r="G263" s="1110" t="str">
        <f>IF(G262&gt;G261,"OVER","INSIDE")</f>
        <v>INSIDE</v>
      </c>
      <c r="H263" s="1111"/>
      <c r="I263" s="1112"/>
      <c r="J263" s="1402"/>
      <c r="K263" s="1187"/>
      <c r="L263" s="1405"/>
      <c r="M263" s="1408"/>
      <c r="N263" s="394"/>
      <c r="O263" s="395"/>
      <c r="P263" s="396"/>
      <c r="Q263" s="1341"/>
      <c r="R263" s="1342"/>
      <c r="S263" s="193"/>
      <c r="T263" s="193"/>
    </row>
    <row r="264" spans="2:20" ht="19.5" customHeight="1" thickBot="1">
      <c r="B264" s="1395"/>
      <c r="C264" s="1351"/>
      <c r="D264" s="386" t="s">
        <v>170</v>
      </c>
      <c r="E264" s="840"/>
      <c r="F264" s="412"/>
      <c r="G264" s="1399">
        <f>IF(G263="OVER",0,G262)</f>
        <v>0</v>
      </c>
      <c r="H264" s="1400"/>
      <c r="I264" s="387" t="s">
        <v>452</v>
      </c>
      <c r="J264" s="1403"/>
      <c r="K264" s="1188"/>
      <c r="L264" s="1406"/>
      <c r="M264" s="1409"/>
      <c r="N264" s="394"/>
      <c r="O264" s="395"/>
      <c r="P264" s="396"/>
      <c r="Q264" s="1343"/>
      <c r="R264" s="1344"/>
      <c r="S264" s="193"/>
      <c r="T264" s="193"/>
    </row>
    <row r="265" spans="2:20" ht="19.5" customHeight="1">
      <c r="B265" s="1389" t="s">
        <v>107</v>
      </c>
      <c r="C265" s="1333" t="s">
        <v>418</v>
      </c>
      <c r="D265" s="849" t="s">
        <v>437</v>
      </c>
      <c r="E265" s="850"/>
      <c r="F265" s="851"/>
      <c r="G265" s="1753">
        <f>G240*L265</f>
        <v>1330</v>
      </c>
      <c r="H265" s="1754"/>
      <c r="I265" s="851" t="s">
        <v>452</v>
      </c>
      <c r="J265" s="1424" t="s">
        <v>351</v>
      </c>
      <c r="K265" s="1186">
        <f ca="1">CELL("row",'記入シート'!C166)</f>
        <v>166</v>
      </c>
      <c r="L265" s="1425">
        <f>$L$25</f>
        <v>10</v>
      </c>
      <c r="M265" s="1426">
        <f>M242</f>
        <v>132</v>
      </c>
      <c r="N265" s="1906" t="s">
        <v>444</v>
      </c>
      <c r="O265" s="1764">
        <f>G500-G269+G518</f>
        <v>1</v>
      </c>
      <c r="P265" s="1765" t="s">
        <v>453</v>
      </c>
      <c r="Q265" s="1320" t="str">
        <f>IF(G503="OVER","＃２は超過で表示不可",IF(G266=0,REPT("　",(G500+G518)*L265),IF(G274="OVER",CONCATENATE(REPT("　",G514*L265),"＃２は文字数過多です"),CONCATENATE(REPT("　",G514*L265),'記入シート'!C166,REPT("　",O267)))))</f>
        <v>　　　　　　　　　　</v>
      </c>
      <c r="R265" s="1321"/>
      <c r="S265" s="193"/>
      <c r="T265" s="193"/>
    </row>
    <row r="266" spans="2:20" ht="19.5" customHeight="1">
      <c r="B266" s="1357"/>
      <c r="C266" s="1334"/>
      <c r="D266" s="847" t="s">
        <v>438</v>
      </c>
      <c r="E266" s="848"/>
      <c r="F266" s="843"/>
      <c r="G266" s="1434">
        <f>LEN('記入シート'!C166)</f>
        <v>0</v>
      </c>
      <c r="H266" s="1435"/>
      <c r="I266" s="846" t="s">
        <v>452</v>
      </c>
      <c r="J266" s="1402"/>
      <c r="K266" s="1187"/>
      <c r="L266" s="1405"/>
      <c r="M266" s="1408"/>
      <c r="N266" s="1412"/>
      <c r="O266" s="1415"/>
      <c r="P266" s="1418"/>
      <c r="Q266" s="1322"/>
      <c r="R266" s="1323"/>
      <c r="S266" s="193"/>
      <c r="T266" s="193"/>
    </row>
    <row r="267" spans="2:20" ht="19.5" customHeight="1">
      <c r="B267" s="1357"/>
      <c r="C267" s="1334"/>
      <c r="D267" s="844" t="s">
        <v>167</v>
      </c>
      <c r="E267" s="848"/>
      <c r="F267" s="843"/>
      <c r="G267" s="1755" t="str">
        <f>IF(G266&gt;G265,"OVER","INSIDE")</f>
        <v>INSIDE</v>
      </c>
      <c r="H267" s="1756"/>
      <c r="I267" s="1757"/>
      <c r="J267" s="1402"/>
      <c r="K267" s="1187"/>
      <c r="L267" s="1405"/>
      <c r="M267" s="1408"/>
      <c r="N267" s="388" t="s">
        <v>445</v>
      </c>
      <c r="O267" s="389">
        <f>ABS(G270)+O265*L265</f>
        <v>10</v>
      </c>
      <c r="P267" s="390" t="s">
        <v>452</v>
      </c>
      <c r="Q267" s="1322"/>
      <c r="R267" s="1323"/>
      <c r="S267" s="193"/>
      <c r="T267" s="193"/>
    </row>
    <row r="268" spans="2:20" ht="19.5" customHeight="1">
      <c r="B268" s="1357"/>
      <c r="C268" s="1334"/>
      <c r="D268" s="386" t="s">
        <v>170</v>
      </c>
      <c r="E268" s="377"/>
      <c r="F268" s="384"/>
      <c r="G268" s="1399">
        <f>IF(G267="OVER",0,G266)</f>
        <v>0</v>
      </c>
      <c r="H268" s="1400"/>
      <c r="I268" s="387" t="s">
        <v>452</v>
      </c>
      <c r="J268" s="1402"/>
      <c r="K268" s="1187"/>
      <c r="L268" s="1405"/>
      <c r="M268" s="1408"/>
      <c r="N268" s="391"/>
      <c r="O268" s="392"/>
      <c r="P268" s="393"/>
      <c r="Q268" s="1322"/>
      <c r="R268" s="1323"/>
      <c r="S268" s="193"/>
      <c r="T268" s="193"/>
    </row>
    <row r="269" spans="2:20" ht="19.5" customHeight="1">
      <c r="B269" s="1357"/>
      <c r="C269" s="1334"/>
      <c r="D269" s="397" t="s">
        <v>451</v>
      </c>
      <c r="E269" s="377"/>
      <c r="F269" s="384"/>
      <c r="G269" s="1399">
        <f>ROUNDUP(G268/L265,0)</f>
        <v>0</v>
      </c>
      <c r="H269" s="1400"/>
      <c r="I269" s="387" t="s">
        <v>453</v>
      </c>
      <c r="J269" s="1402"/>
      <c r="K269" s="1187"/>
      <c r="L269" s="1405"/>
      <c r="M269" s="1408"/>
      <c r="N269" s="394"/>
      <c r="O269" s="395"/>
      <c r="P269" s="396"/>
      <c r="Q269" s="1322"/>
      <c r="R269" s="1323"/>
      <c r="S269" s="193"/>
      <c r="T269" s="193"/>
    </row>
    <row r="270" spans="2:20" ht="19.5" customHeight="1">
      <c r="B270" s="1357"/>
      <c r="C270" s="1334"/>
      <c r="D270" s="397" t="s">
        <v>439</v>
      </c>
      <c r="E270" s="377"/>
      <c r="F270" s="387"/>
      <c r="G270" s="1399">
        <f>G268-G269*L265</f>
        <v>0</v>
      </c>
      <c r="H270" s="1400"/>
      <c r="I270" s="387" t="s">
        <v>452</v>
      </c>
      <c r="J270" s="1402"/>
      <c r="K270" s="1187"/>
      <c r="L270" s="1405"/>
      <c r="M270" s="1408"/>
      <c r="N270" s="394"/>
      <c r="O270" s="395"/>
      <c r="P270" s="396"/>
      <c r="Q270" s="1322"/>
      <c r="R270" s="1323"/>
      <c r="S270" s="193"/>
      <c r="T270" s="193"/>
    </row>
    <row r="271" spans="2:20" ht="19.5" customHeight="1" thickBot="1">
      <c r="B271" s="1357"/>
      <c r="C271" s="1334"/>
      <c r="D271" s="898" t="s">
        <v>440</v>
      </c>
      <c r="E271" s="899"/>
      <c r="F271" s="398"/>
      <c r="G271" s="1429">
        <f>G269*L265</f>
        <v>0</v>
      </c>
      <c r="H271" s="1430"/>
      <c r="I271" s="398" t="s">
        <v>452</v>
      </c>
      <c r="J271" s="1402"/>
      <c r="K271" s="1187"/>
      <c r="L271" s="1405"/>
      <c r="M271" s="1408"/>
      <c r="N271" s="394"/>
      <c r="O271" s="395"/>
      <c r="P271" s="396"/>
      <c r="Q271" s="1322"/>
      <c r="R271" s="1323"/>
      <c r="S271" s="193"/>
      <c r="T271" s="193"/>
    </row>
    <row r="272" spans="2:20" ht="19.5" customHeight="1">
      <c r="B272" s="1357"/>
      <c r="C272" s="1333" t="s">
        <v>332</v>
      </c>
      <c r="D272" s="399" t="s">
        <v>437</v>
      </c>
      <c r="E272" s="400"/>
      <c r="F272" s="401"/>
      <c r="G272" s="1246">
        <f>J241*L265</f>
        <v>1320</v>
      </c>
      <c r="H272" s="1247"/>
      <c r="I272" s="795" t="s">
        <v>452</v>
      </c>
      <c r="J272" s="1402"/>
      <c r="K272" s="1187"/>
      <c r="L272" s="1405"/>
      <c r="M272" s="1408"/>
      <c r="N272" s="394"/>
      <c r="O272" s="395"/>
      <c r="P272" s="396"/>
      <c r="Q272" s="1322"/>
      <c r="R272" s="1323"/>
      <c r="S272" s="193"/>
      <c r="T272" s="193"/>
    </row>
    <row r="273" spans="2:20" ht="19.5" customHeight="1">
      <c r="B273" s="1357"/>
      <c r="C273" s="1334"/>
      <c r="D273" s="397" t="s">
        <v>438</v>
      </c>
      <c r="E273" s="377"/>
      <c r="F273" s="387"/>
      <c r="G273" s="1399">
        <f>LEN('記入シート'!C166)</f>
        <v>0</v>
      </c>
      <c r="H273" s="1400"/>
      <c r="I273" s="387" t="s">
        <v>452</v>
      </c>
      <c r="J273" s="1402"/>
      <c r="K273" s="1187"/>
      <c r="L273" s="1405"/>
      <c r="M273" s="1408"/>
      <c r="N273" s="394"/>
      <c r="O273" s="395"/>
      <c r="P273" s="396"/>
      <c r="Q273" s="1322"/>
      <c r="R273" s="1323"/>
      <c r="S273" s="193"/>
      <c r="T273" s="193"/>
    </row>
    <row r="274" spans="2:20" ht="19.5" customHeight="1">
      <c r="B274" s="1357"/>
      <c r="C274" s="1334"/>
      <c r="D274" s="386" t="s">
        <v>167</v>
      </c>
      <c r="E274" s="377"/>
      <c r="F274" s="387"/>
      <c r="G274" s="1110" t="str">
        <f>IF(G273&gt;G272,"OVER","INSIDE")</f>
        <v>INSIDE</v>
      </c>
      <c r="H274" s="1111"/>
      <c r="I274" s="1112"/>
      <c r="J274" s="1402"/>
      <c r="K274" s="1187"/>
      <c r="L274" s="1405"/>
      <c r="M274" s="1408"/>
      <c r="N274" s="394"/>
      <c r="O274" s="395"/>
      <c r="P274" s="396"/>
      <c r="Q274" s="1322"/>
      <c r="R274" s="1323"/>
      <c r="S274" s="193"/>
      <c r="T274" s="193"/>
    </row>
    <row r="275" spans="2:20" ht="19.5" customHeight="1" thickBot="1">
      <c r="B275" s="1395"/>
      <c r="C275" s="1335"/>
      <c r="D275" s="386" t="s">
        <v>170</v>
      </c>
      <c r="E275" s="840"/>
      <c r="F275" s="412"/>
      <c r="G275" s="1399">
        <f>IF(G274="OVER",0,G273)</f>
        <v>0</v>
      </c>
      <c r="H275" s="1400"/>
      <c r="I275" s="387" t="s">
        <v>452</v>
      </c>
      <c r="J275" s="1403"/>
      <c r="K275" s="1188"/>
      <c r="L275" s="1406"/>
      <c r="M275" s="1409"/>
      <c r="N275" s="402"/>
      <c r="O275" s="403"/>
      <c r="P275" s="404"/>
      <c r="Q275" s="1324"/>
      <c r="R275" s="1325"/>
      <c r="S275" s="193"/>
      <c r="T275" s="193"/>
    </row>
    <row r="276" spans="2:20" ht="19.5" customHeight="1" thickTop="1">
      <c r="B276" s="1389" t="s">
        <v>108</v>
      </c>
      <c r="C276" s="1389" t="s">
        <v>400</v>
      </c>
      <c r="D276" s="1391" t="s">
        <v>472</v>
      </c>
      <c r="E276" s="854" t="s">
        <v>437</v>
      </c>
      <c r="F276" s="851"/>
      <c r="G276" s="1753">
        <f>G240*L276</f>
        <v>2527</v>
      </c>
      <c r="H276" s="1754"/>
      <c r="I276" s="851" t="s">
        <v>452</v>
      </c>
      <c r="J276" s="1424" t="s">
        <v>351</v>
      </c>
      <c r="K276" s="1186">
        <f ca="1">CELL("row",'記入シート'!C172)</f>
        <v>172</v>
      </c>
      <c r="L276" s="1425">
        <f>$L$32</f>
        <v>19</v>
      </c>
      <c r="M276" s="1426">
        <f>M242</f>
        <v>132</v>
      </c>
      <c r="N276" s="1906" t="s">
        <v>481</v>
      </c>
      <c r="O276" s="1764">
        <f>O303-G281</f>
        <v>0</v>
      </c>
      <c r="P276" s="1765" t="s">
        <v>453</v>
      </c>
      <c r="Q276" s="1263">
        <f>IF(G280=0,REPT("　",O276*L276),CONCATENATE("①　",'記入シート'!C172,REPT("　",O276*L276+ABS(G282))))</f>
      </c>
      <c r="R276" s="1264"/>
      <c r="S276" s="1264"/>
      <c r="T276" s="1265"/>
    </row>
    <row r="277" spans="2:20" ht="19.5" customHeight="1">
      <c r="B277" s="1357"/>
      <c r="C277" s="1357"/>
      <c r="D277" s="1392"/>
      <c r="E277" s="855" t="s">
        <v>138</v>
      </c>
      <c r="F277" s="846"/>
      <c r="G277" s="1434">
        <f>IF(G276&gt;2,G276-2,0)</f>
        <v>2525</v>
      </c>
      <c r="H277" s="1435"/>
      <c r="I277" s="846" t="s">
        <v>452</v>
      </c>
      <c r="J277" s="1402"/>
      <c r="K277" s="1187"/>
      <c r="L277" s="1405"/>
      <c r="M277" s="1408"/>
      <c r="N277" s="1411"/>
      <c r="O277" s="1414"/>
      <c r="P277" s="1417"/>
      <c r="Q277" s="1266"/>
      <c r="R277" s="1267"/>
      <c r="S277" s="1267"/>
      <c r="T277" s="1268"/>
    </row>
    <row r="278" spans="2:20" ht="19.5" customHeight="1">
      <c r="B278" s="1357"/>
      <c r="C278" s="1357"/>
      <c r="D278" s="1392"/>
      <c r="E278" s="856" t="s">
        <v>149</v>
      </c>
      <c r="F278" s="843"/>
      <c r="G278" s="1434">
        <f>LEN('記入シート'!C172)</f>
        <v>0</v>
      </c>
      <c r="H278" s="1435"/>
      <c r="I278" s="846" t="s">
        <v>452</v>
      </c>
      <c r="J278" s="1402"/>
      <c r="K278" s="1187"/>
      <c r="L278" s="1405"/>
      <c r="M278" s="1408"/>
      <c r="N278" s="1411"/>
      <c r="O278" s="1414"/>
      <c r="P278" s="1417"/>
      <c r="Q278" s="1266"/>
      <c r="R278" s="1267"/>
      <c r="S278" s="1267"/>
      <c r="T278" s="1268"/>
    </row>
    <row r="279" spans="2:20" ht="19.5" customHeight="1">
      <c r="B279" s="1357"/>
      <c r="C279" s="1357"/>
      <c r="D279" s="1392"/>
      <c r="E279" s="856" t="s">
        <v>167</v>
      </c>
      <c r="F279" s="843"/>
      <c r="G279" s="1755" t="str">
        <f>IF(G278&gt;G277,"OVER","INSIDE")</f>
        <v>INSIDE</v>
      </c>
      <c r="H279" s="1756"/>
      <c r="I279" s="1757"/>
      <c r="J279" s="1402"/>
      <c r="K279" s="1187"/>
      <c r="L279" s="1405"/>
      <c r="M279" s="1408"/>
      <c r="N279" s="409"/>
      <c r="O279" s="392"/>
      <c r="P279" s="393"/>
      <c r="Q279" s="1266"/>
      <c r="R279" s="1267"/>
      <c r="S279" s="1267"/>
      <c r="T279" s="1268"/>
    </row>
    <row r="280" spans="2:20" ht="19.5" customHeight="1">
      <c r="B280" s="1357"/>
      <c r="C280" s="1357"/>
      <c r="D280" s="1392"/>
      <c r="E280" s="408" t="s">
        <v>153</v>
      </c>
      <c r="F280" s="384"/>
      <c r="G280" s="1399">
        <f>IF(G278=0,0,IF(G279="OVER",0,G278+2))</f>
        <v>0</v>
      </c>
      <c r="H280" s="1400"/>
      <c r="I280" s="387" t="s">
        <v>452</v>
      </c>
      <c r="J280" s="1402"/>
      <c r="K280" s="1187"/>
      <c r="L280" s="1405"/>
      <c r="M280" s="1408"/>
      <c r="N280" s="410"/>
      <c r="O280" s="395"/>
      <c r="P280" s="396"/>
      <c r="Q280" s="1266"/>
      <c r="R280" s="1267"/>
      <c r="S280" s="1267"/>
      <c r="T280" s="1268"/>
    </row>
    <row r="281" spans="2:20" ht="19.5" customHeight="1">
      <c r="B281" s="1357"/>
      <c r="C281" s="1357"/>
      <c r="D281" s="1392"/>
      <c r="E281" s="894" t="s">
        <v>451</v>
      </c>
      <c r="F281" s="411"/>
      <c r="G281" s="1399">
        <f>ROUNDUP(G280/L276,0)</f>
        <v>0</v>
      </c>
      <c r="H281" s="1400"/>
      <c r="I281" s="387" t="s">
        <v>453</v>
      </c>
      <c r="J281" s="1402"/>
      <c r="K281" s="1187"/>
      <c r="L281" s="1405"/>
      <c r="M281" s="1408"/>
      <c r="N281" s="410"/>
      <c r="O281" s="395"/>
      <c r="P281" s="396"/>
      <c r="Q281" s="1266"/>
      <c r="R281" s="1267"/>
      <c r="S281" s="1267"/>
      <c r="T281" s="1268"/>
    </row>
    <row r="282" spans="2:20" ht="19.5" customHeight="1">
      <c r="B282" s="1357"/>
      <c r="C282" s="1357"/>
      <c r="D282" s="1392"/>
      <c r="E282" s="894" t="s">
        <v>419</v>
      </c>
      <c r="F282" s="411"/>
      <c r="G282" s="1399">
        <f>G280-G281*L276</f>
        <v>0</v>
      </c>
      <c r="H282" s="1400"/>
      <c r="I282" s="387" t="s">
        <v>452</v>
      </c>
      <c r="J282" s="1402"/>
      <c r="K282" s="1187"/>
      <c r="L282" s="1405"/>
      <c r="M282" s="1408"/>
      <c r="N282" s="410"/>
      <c r="O282" s="395"/>
      <c r="P282" s="396"/>
      <c r="Q282" s="1266"/>
      <c r="R282" s="1267"/>
      <c r="S282" s="1267"/>
      <c r="T282" s="1268"/>
    </row>
    <row r="283" spans="2:20" ht="19.5" customHeight="1" thickBot="1">
      <c r="B283" s="1357"/>
      <c r="C283" s="1395"/>
      <c r="D283" s="1394"/>
      <c r="E283" s="895" t="s">
        <v>423</v>
      </c>
      <c r="F283" s="420"/>
      <c r="G283" s="1429">
        <f>G281*L276</f>
        <v>0</v>
      </c>
      <c r="H283" s="1430"/>
      <c r="I283" s="398" t="s">
        <v>452</v>
      </c>
      <c r="J283" s="1402"/>
      <c r="K283" s="1187"/>
      <c r="L283" s="1405"/>
      <c r="M283" s="1408"/>
      <c r="N283" s="410"/>
      <c r="O283" s="395"/>
      <c r="P283" s="396"/>
      <c r="Q283" s="1266"/>
      <c r="R283" s="1267"/>
      <c r="S283" s="1267"/>
      <c r="T283" s="1268"/>
    </row>
    <row r="284" spans="2:20" ht="19.5" customHeight="1">
      <c r="B284" s="1357" t="s">
        <v>108</v>
      </c>
      <c r="C284" s="1389" t="s">
        <v>332</v>
      </c>
      <c r="D284" s="1391" t="s">
        <v>212</v>
      </c>
      <c r="E284" s="405" t="s">
        <v>437</v>
      </c>
      <c r="F284" s="401"/>
      <c r="G284" s="1397">
        <f>J241*L276</f>
        <v>2508</v>
      </c>
      <c r="H284" s="1398"/>
      <c r="I284" s="401" t="s">
        <v>452</v>
      </c>
      <c r="J284" s="1402"/>
      <c r="K284" s="1187"/>
      <c r="L284" s="1405"/>
      <c r="M284" s="1408"/>
      <c r="N284" s="410"/>
      <c r="O284" s="395"/>
      <c r="P284" s="396"/>
      <c r="Q284" s="1266"/>
      <c r="R284" s="1267"/>
      <c r="S284" s="1267"/>
      <c r="T284" s="1268"/>
    </row>
    <row r="285" spans="2:20" ht="19.5" customHeight="1">
      <c r="B285" s="1357"/>
      <c r="C285" s="1357"/>
      <c r="D285" s="1392"/>
      <c r="E285" s="406" t="s">
        <v>138</v>
      </c>
      <c r="F285" s="387"/>
      <c r="G285" s="1206">
        <f>IF(G284&gt;2,G284-2,0)</f>
        <v>2506</v>
      </c>
      <c r="H285" s="1207"/>
      <c r="I285" s="796" t="s">
        <v>452</v>
      </c>
      <c r="J285" s="1402"/>
      <c r="K285" s="1187"/>
      <c r="L285" s="1405"/>
      <c r="M285" s="1408"/>
      <c r="N285" s="410"/>
      <c r="O285" s="395"/>
      <c r="P285" s="396"/>
      <c r="Q285" s="1266"/>
      <c r="R285" s="1267"/>
      <c r="S285" s="1267"/>
      <c r="T285" s="1268"/>
    </row>
    <row r="286" spans="2:20" ht="19.5" customHeight="1">
      <c r="B286" s="1357"/>
      <c r="C286" s="1357"/>
      <c r="D286" s="1392"/>
      <c r="E286" s="408" t="s">
        <v>149</v>
      </c>
      <c r="F286" s="384"/>
      <c r="G286" s="1399">
        <f>LEN('記入シート'!C172)</f>
        <v>0</v>
      </c>
      <c r="H286" s="1400"/>
      <c r="I286" s="387" t="s">
        <v>452</v>
      </c>
      <c r="J286" s="1402"/>
      <c r="K286" s="1187"/>
      <c r="L286" s="1405"/>
      <c r="M286" s="1408"/>
      <c r="N286" s="410"/>
      <c r="O286" s="395"/>
      <c r="P286" s="396"/>
      <c r="Q286" s="1266"/>
      <c r="R286" s="1267"/>
      <c r="S286" s="1267"/>
      <c r="T286" s="1268"/>
    </row>
    <row r="287" spans="2:20" ht="19.5" customHeight="1" thickBot="1">
      <c r="B287" s="1357"/>
      <c r="C287" s="1395"/>
      <c r="D287" s="1394"/>
      <c r="E287" s="852" t="s">
        <v>167</v>
      </c>
      <c r="F287" s="853"/>
      <c r="G287" s="1421" t="str">
        <f>IF(G286&gt;G285,"OVER","INSIDE")</f>
        <v>INSIDE</v>
      </c>
      <c r="H287" s="1422"/>
      <c r="I287" s="1423"/>
      <c r="J287" s="1403"/>
      <c r="K287" s="1188"/>
      <c r="L287" s="1406"/>
      <c r="M287" s="1409"/>
      <c r="N287" s="413"/>
      <c r="O287" s="403"/>
      <c r="P287" s="404"/>
      <c r="Q287" s="1269"/>
      <c r="R287" s="1270"/>
      <c r="S287" s="1270"/>
      <c r="T287" s="1271"/>
    </row>
    <row r="288" spans="2:20" ht="19.5" customHeight="1">
      <c r="B288" s="1357" t="s">
        <v>336</v>
      </c>
      <c r="C288" s="1389" t="s">
        <v>400</v>
      </c>
      <c r="D288" s="1391" t="s">
        <v>334</v>
      </c>
      <c r="E288" s="667"/>
      <c r="F288" s="415" t="s">
        <v>455</v>
      </c>
      <c r="G288" s="1419">
        <f>LEN(LEFT('記入シート'!C176,L288))</f>
        <v>0</v>
      </c>
      <c r="H288" s="1420"/>
      <c r="I288" s="418" t="s">
        <v>452</v>
      </c>
      <c r="J288" s="1772" t="s">
        <v>352</v>
      </c>
      <c r="K288" s="1186">
        <f ca="1">CELL("row",'記入シート'!C176)</f>
        <v>176</v>
      </c>
      <c r="L288" s="1405">
        <f>$L$40</f>
        <v>6</v>
      </c>
      <c r="M288" s="1408">
        <f>M242</f>
        <v>132</v>
      </c>
      <c r="N288" s="1787" t="s">
        <v>474</v>
      </c>
      <c r="O288" s="1414">
        <f>SUM(G288:H295)</f>
        <v>0</v>
      </c>
      <c r="P288" s="1798" t="s">
        <v>452</v>
      </c>
      <c r="Q288" s="1554">
        <f>IF(O293=0,REPT("　",O303*L288),CONCATENATE(LEFT('記入シート'!C176,L288),REPT("　",G289),LEFT('記入シート'!C177,L288),REPT("　",G291),LEFT('記入シート'!C178,L288),REPT("　",G293),LEFT('記入シート'!C179,L288),REPT("　",G295),REPT("　",L288*O295)))</f>
      </c>
      <c r="R288" s="313"/>
      <c r="S288" s="313"/>
      <c r="T288" s="313"/>
    </row>
    <row r="289" spans="2:20" ht="19.5" customHeight="1">
      <c r="B289" s="1357"/>
      <c r="C289" s="1357"/>
      <c r="D289" s="1392"/>
      <c r="E289" s="667"/>
      <c r="F289" s="420" t="s">
        <v>458</v>
      </c>
      <c r="G289" s="1399">
        <f>IF(G288=0,0,L288-G288)</f>
        <v>0</v>
      </c>
      <c r="H289" s="1400"/>
      <c r="I289" s="398" t="s">
        <v>452</v>
      </c>
      <c r="J289" s="1770"/>
      <c r="K289" s="1187"/>
      <c r="L289" s="1405"/>
      <c r="M289" s="1408"/>
      <c r="N289" s="1787"/>
      <c r="O289" s="1414"/>
      <c r="P289" s="1798"/>
      <c r="Q289" s="1554"/>
      <c r="R289" s="313"/>
      <c r="S289" s="313"/>
      <c r="T289" s="313"/>
    </row>
    <row r="290" spans="2:20" ht="19.5" customHeight="1">
      <c r="B290" s="1357"/>
      <c r="C290" s="1357"/>
      <c r="D290" s="1392"/>
      <c r="E290" s="667"/>
      <c r="F290" s="420" t="s">
        <v>456</v>
      </c>
      <c r="G290" s="1399">
        <f>LEN(LEFT('記入シート'!C177,L288))</f>
        <v>0</v>
      </c>
      <c r="H290" s="1400"/>
      <c r="I290" s="398" t="s">
        <v>452</v>
      </c>
      <c r="J290" s="1770" t="s">
        <v>352</v>
      </c>
      <c r="K290" s="1185">
        <f ca="1">CELL("row",'記入シート'!C177)</f>
        <v>177</v>
      </c>
      <c r="L290" s="1405"/>
      <c r="M290" s="1408"/>
      <c r="N290" s="1787"/>
      <c r="O290" s="1414"/>
      <c r="P290" s="1798"/>
      <c r="Q290" s="1554"/>
      <c r="R290" s="313"/>
      <c r="S290" s="313"/>
      <c r="T290" s="313"/>
    </row>
    <row r="291" spans="2:20" ht="19.5" customHeight="1">
      <c r="B291" s="1357"/>
      <c r="C291" s="1357"/>
      <c r="D291" s="1392"/>
      <c r="E291" s="414" t="s">
        <v>401</v>
      </c>
      <c r="F291" s="420" t="s">
        <v>459</v>
      </c>
      <c r="G291" s="1399">
        <f>IF(G290=0,0,L288-G290)</f>
        <v>0</v>
      </c>
      <c r="H291" s="1400"/>
      <c r="I291" s="398" t="s">
        <v>452</v>
      </c>
      <c r="J291" s="1770"/>
      <c r="K291" s="1185"/>
      <c r="L291" s="1405"/>
      <c r="M291" s="1408"/>
      <c r="N291" s="1787"/>
      <c r="O291" s="1414"/>
      <c r="P291" s="1798"/>
      <c r="Q291" s="1549"/>
      <c r="R291" s="313"/>
      <c r="S291" s="313"/>
      <c r="T291" s="313"/>
    </row>
    <row r="292" spans="2:20" ht="19.5" customHeight="1">
      <c r="B292" s="1357"/>
      <c r="C292" s="1357"/>
      <c r="D292" s="1392"/>
      <c r="E292" s="414" t="s">
        <v>278</v>
      </c>
      <c r="F292" s="411" t="s">
        <v>475</v>
      </c>
      <c r="G292" s="1399">
        <f>LEN(LEFT('記入シート'!C178,L288))</f>
        <v>0</v>
      </c>
      <c r="H292" s="1400"/>
      <c r="I292" s="398" t="s">
        <v>452</v>
      </c>
      <c r="J292" s="1790" t="s">
        <v>352</v>
      </c>
      <c r="K292" s="1185">
        <f ca="1">CELL("row",'記入シート'!C178)</f>
        <v>178</v>
      </c>
      <c r="L292" s="1405"/>
      <c r="M292" s="1408"/>
      <c r="N292" s="1788"/>
      <c r="O292" s="1415"/>
      <c r="P292" s="1799"/>
      <c r="Q292" s="320"/>
      <c r="R292" s="313"/>
      <c r="S292" s="313"/>
      <c r="T292" s="313"/>
    </row>
    <row r="293" spans="2:20" ht="19.5" customHeight="1">
      <c r="B293" s="1357"/>
      <c r="C293" s="1357"/>
      <c r="D293" s="1392"/>
      <c r="E293" s="667"/>
      <c r="F293" s="411" t="s">
        <v>476</v>
      </c>
      <c r="G293" s="1399">
        <f>IF(G292=0,0,L288-G292)</f>
        <v>0</v>
      </c>
      <c r="H293" s="1400"/>
      <c r="I293" s="398" t="s">
        <v>452</v>
      </c>
      <c r="J293" s="1772"/>
      <c r="K293" s="1185"/>
      <c r="L293" s="1405"/>
      <c r="M293" s="1408"/>
      <c r="N293" s="1774" t="s">
        <v>480</v>
      </c>
      <c r="O293" s="1776">
        <f>O288/$L$40</f>
        <v>0</v>
      </c>
      <c r="P293" s="1769" t="s">
        <v>453</v>
      </c>
      <c r="Q293" s="320"/>
      <c r="R293" s="313"/>
      <c r="S293" s="313"/>
      <c r="T293" s="313"/>
    </row>
    <row r="294" spans="2:20" ht="19.5" customHeight="1">
      <c r="B294" s="1357"/>
      <c r="C294" s="1357"/>
      <c r="D294" s="1392"/>
      <c r="E294" s="667"/>
      <c r="F294" s="411" t="s">
        <v>477</v>
      </c>
      <c r="G294" s="1399">
        <f>LEN(LEFT('記入シート'!C179,L288))</f>
        <v>0</v>
      </c>
      <c r="H294" s="1400"/>
      <c r="I294" s="398" t="s">
        <v>452</v>
      </c>
      <c r="J294" s="1790" t="s">
        <v>352</v>
      </c>
      <c r="K294" s="1185">
        <f ca="1">CELL("row",'記入シート'!C179)</f>
        <v>179</v>
      </c>
      <c r="L294" s="1405"/>
      <c r="M294" s="1408"/>
      <c r="N294" s="1412"/>
      <c r="O294" s="1415"/>
      <c r="P294" s="1418"/>
      <c r="Q294" s="995"/>
      <c r="R294" s="313"/>
      <c r="S294" s="313"/>
      <c r="T294" s="313"/>
    </row>
    <row r="295" spans="2:20" ht="19.5" customHeight="1">
      <c r="B295" s="1357"/>
      <c r="C295" s="1357"/>
      <c r="D295" s="1392"/>
      <c r="E295" s="667"/>
      <c r="F295" s="420" t="s">
        <v>478</v>
      </c>
      <c r="G295" s="1399">
        <f>IF(G294=0,0,L288-G294)</f>
        <v>0</v>
      </c>
      <c r="H295" s="1400"/>
      <c r="I295" s="398" t="s">
        <v>452</v>
      </c>
      <c r="J295" s="1402"/>
      <c r="K295" s="1185"/>
      <c r="L295" s="1405"/>
      <c r="M295" s="1408"/>
      <c r="N295" s="427" t="s">
        <v>482</v>
      </c>
      <c r="O295" s="428">
        <f>O303-O293</f>
        <v>0</v>
      </c>
      <c r="P295" s="407" t="s">
        <v>453</v>
      </c>
      <c r="Q295" s="995"/>
      <c r="R295" s="313"/>
      <c r="S295" s="313"/>
      <c r="T295" s="313"/>
    </row>
    <row r="296" spans="2:20" ht="19.5" customHeight="1">
      <c r="B296" s="1357"/>
      <c r="C296" s="1357"/>
      <c r="D296" s="1392"/>
      <c r="E296" s="442"/>
      <c r="F296" s="421"/>
      <c r="G296" s="421"/>
      <c r="H296" s="422"/>
      <c r="I296" s="429"/>
      <c r="J296" s="1009"/>
      <c r="K296" s="1022"/>
      <c r="L296" s="430"/>
      <c r="M296" s="431"/>
      <c r="N296" s="1795" t="s">
        <v>124</v>
      </c>
      <c r="O296" s="1620" t="str">
        <f>IF(O293&gt;G284/L276,"OVER","INSIDE")</f>
        <v>INSIDE</v>
      </c>
      <c r="P296" s="1621"/>
      <c r="Q296" s="424"/>
      <c r="R296" s="419"/>
      <c r="S296" s="419"/>
      <c r="T296" s="419"/>
    </row>
    <row r="297" spans="2:20" ht="19.5" customHeight="1" thickBot="1">
      <c r="B297" s="1357"/>
      <c r="C297" s="1357"/>
      <c r="D297" s="1392"/>
      <c r="E297" s="432"/>
      <c r="F297" s="433"/>
      <c r="G297" s="433"/>
      <c r="H297" s="434"/>
      <c r="I297" s="435"/>
      <c r="J297" s="1010"/>
      <c r="K297" s="1023"/>
      <c r="L297" s="436"/>
      <c r="M297" s="437"/>
      <c r="N297" s="1796"/>
      <c r="O297" s="1622"/>
      <c r="P297" s="1623"/>
      <c r="Q297" s="424"/>
      <c r="R297" s="419"/>
      <c r="S297" s="419"/>
      <c r="T297" s="419"/>
    </row>
    <row r="298" spans="2:20" ht="19.5" customHeight="1">
      <c r="B298" s="1357" t="s">
        <v>335</v>
      </c>
      <c r="C298" s="1357" t="s">
        <v>400</v>
      </c>
      <c r="D298" s="1392" t="s">
        <v>333</v>
      </c>
      <c r="E298" s="666"/>
      <c r="F298" s="439" t="s">
        <v>455</v>
      </c>
      <c r="G298" s="1397">
        <f>LEN(LEFT('記入シート'!C182,L298))</f>
        <v>0</v>
      </c>
      <c r="H298" s="1398"/>
      <c r="I298" s="440" t="s">
        <v>452</v>
      </c>
      <c r="J298" s="1771" t="s">
        <v>352</v>
      </c>
      <c r="K298" s="1186">
        <f ca="1">CELL("row",'記入シート'!C182)</f>
        <v>182</v>
      </c>
      <c r="L298" s="1425">
        <f>$L$49</f>
        <v>6</v>
      </c>
      <c r="M298" s="1802">
        <f>M242</f>
        <v>132</v>
      </c>
      <c r="N298" s="1786" t="s">
        <v>484</v>
      </c>
      <c r="O298" s="1764">
        <f>SUM(G298:H301)</f>
        <v>0</v>
      </c>
      <c r="P298" s="1765" t="s">
        <v>452</v>
      </c>
      <c r="Q298" s="1548">
        <f>IF(O301=0,REPT("　",O303*L298),CONCATENATE(LEFT('記入シート'!C182,L298),REPT("　",G299),LEFT('記入シート'!C183,L298),REPT("　",G301),REPT("　",L298*O306)))</f>
      </c>
      <c r="R298" s="419"/>
      <c r="S298" s="419"/>
      <c r="T298" s="419"/>
    </row>
    <row r="299" spans="2:20" ht="19.5" customHeight="1">
      <c r="B299" s="1357"/>
      <c r="C299" s="1357"/>
      <c r="D299" s="1392"/>
      <c r="E299" s="414" t="s">
        <v>402</v>
      </c>
      <c r="F299" s="420" t="s">
        <v>458</v>
      </c>
      <c r="G299" s="1399">
        <f>IF(G298=0,0,L298-G298)</f>
        <v>0</v>
      </c>
      <c r="H299" s="1400"/>
      <c r="I299" s="398" t="s">
        <v>452</v>
      </c>
      <c r="J299" s="1770"/>
      <c r="K299" s="1187"/>
      <c r="L299" s="1405"/>
      <c r="M299" s="1800"/>
      <c r="N299" s="1787"/>
      <c r="O299" s="1414"/>
      <c r="P299" s="1417"/>
      <c r="Q299" s="1549"/>
      <c r="R299" s="419"/>
      <c r="S299" s="419"/>
      <c r="T299" s="419"/>
    </row>
    <row r="300" spans="2:20" ht="19.5" customHeight="1">
      <c r="B300" s="1357"/>
      <c r="C300" s="1357"/>
      <c r="D300" s="1392"/>
      <c r="E300" s="414" t="s">
        <v>278</v>
      </c>
      <c r="F300" s="420" t="s">
        <v>456</v>
      </c>
      <c r="G300" s="1399">
        <f>LEN(LEFT('記入シート'!C183,L298))</f>
        <v>0</v>
      </c>
      <c r="H300" s="1400"/>
      <c r="I300" s="398" t="s">
        <v>452</v>
      </c>
      <c r="J300" s="1790" t="s">
        <v>352</v>
      </c>
      <c r="K300" s="1183">
        <f ca="1">CELL("row",'記入シート'!C183)</f>
        <v>183</v>
      </c>
      <c r="L300" s="1405"/>
      <c r="M300" s="1800"/>
      <c r="N300" s="1788"/>
      <c r="O300" s="1415"/>
      <c r="P300" s="1418"/>
      <c r="Q300" s="424"/>
      <c r="R300" s="419"/>
      <c r="S300" s="419"/>
      <c r="T300" s="419"/>
    </row>
    <row r="301" spans="2:20" ht="19.5" customHeight="1">
      <c r="B301" s="1357"/>
      <c r="C301" s="1357"/>
      <c r="D301" s="1392"/>
      <c r="E301" s="667"/>
      <c r="F301" s="411" t="s">
        <v>459</v>
      </c>
      <c r="G301" s="1399">
        <f>IF(G300=0,0,L298-G300)</f>
        <v>0</v>
      </c>
      <c r="H301" s="1400"/>
      <c r="I301" s="387" t="s">
        <v>452</v>
      </c>
      <c r="J301" s="1772"/>
      <c r="K301" s="1182"/>
      <c r="L301" s="1773"/>
      <c r="M301" s="1800"/>
      <c r="N301" s="1774" t="s">
        <v>479</v>
      </c>
      <c r="O301" s="1776">
        <f>O298/$L$49</f>
        <v>0</v>
      </c>
      <c r="P301" s="1769" t="s">
        <v>453</v>
      </c>
      <c r="Q301" s="424"/>
      <c r="R301" s="419"/>
      <c r="S301" s="419"/>
      <c r="T301" s="419"/>
    </row>
    <row r="302" spans="2:20" ht="19.5" customHeight="1">
      <c r="B302" s="1357"/>
      <c r="C302" s="1357"/>
      <c r="D302" s="1392"/>
      <c r="E302" s="442"/>
      <c r="F302" s="421"/>
      <c r="G302" s="421"/>
      <c r="H302" s="422"/>
      <c r="I302" s="429"/>
      <c r="J302" s="1009"/>
      <c r="K302" s="429"/>
      <c r="L302" s="430"/>
      <c r="M302" s="431"/>
      <c r="N302" s="1411"/>
      <c r="O302" s="1414"/>
      <c r="P302" s="1417"/>
      <c r="Q302" s="424"/>
      <c r="R302" s="419"/>
      <c r="S302" s="419"/>
      <c r="T302" s="419"/>
    </row>
    <row r="303" spans="2:20" ht="19.5" customHeight="1">
      <c r="B303" s="1357"/>
      <c r="C303" s="1357"/>
      <c r="D303" s="1392"/>
      <c r="E303" s="442"/>
      <c r="F303" s="416"/>
      <c r="G303" s="416"/>
      <c r="H303" s="417"/>
      <c r="I303" s="443"/>
      <c r="J303" s="1011"/>
      <c r="K303" s="443"/>
      <c r="L303" s="444"/>
      <c r="M303" s="445"/>
      <c r="N303" s="1774" t="s">
        <v>483</v>
      </c>
      <c r="O303" s="1776">
        <f>MAX(G281,O293,O301)</f>
        <v>0</v>
      </c>
      <c r="P303" s="1769" t="s">
        <v>453</v>
      </c>
      <c r="Q303" s="424"/>
      <c r="R303" s="419"/>
      <c r="S303" s="419"/>
      <c r="T303" s="419"/>
    </row>
    <row r="304" spans="2:20" ht="19.5" customHeight="1">
      <c r="B304" s="1357"/>
      <c r="C304" s="1357"/>
      <c r="D304" s="1392"/>
      <c r="E304" s="442"/>
      <c r="F304" s="416"/>
      <c r="G304" s="416"/>
      <c r="H304" s="417"/>
      <c r="I304" s="443"/>
      <c r="J304" s="1011"/>
      <c r="K304" s="443"/>
      <c r="L304" s="444"/>
      <c r="M304" s="445"/>
      <c r="N304" s="1411"/>
      <c r="O304" s="1414"/>
      <c r="P304" s="1417"/>
      <c r="Q304" s="424"/>
      <c r="R304" s="419"/>
      <c r="S304" s="419"/>
      <c r="T304" s="419"/>
    </row>
    <row r="305" spans="2:20" ht="19.5" customHeight="1">
      <c r="B305" s="1357"/>
      <c r="C305" s="1357"/>
      <c r="D305" s="1392"/>
      <c r="E305" s="442"/>
      <c r="F305" s="416"/>
      <c r="G305" s="416"/>
      <c r="H305" s="417"/>
      <c r="I305" s="443"/>
      <c r="J305" s="1011"/>
      <c r="K305" s="443"/>
      <c r="L305" s="444"/>
      <c r="M305" s="445"/>
      <c r="N305" s="1412"/>
      <c r="O305" s="1415"/>
      <c r="P305" s="1418"/>
      <c r="Q305" s="424"/>
      <c r="R305" s="419"/>
      <c r="S305" s="419"/>
      <c r="T305" s="419"/>
    </row>
    <row r="306" spans="2:20" ht="19.5" customHeight="1">
      <c r="B306" s="1357"/>
      <c r="C306" s="1357"/>
      <c r="D306" s="1392"/>
      <c r="E306" s="442"/>
      <c r="F306" s="416"/>
      <c r="G306" s="416"/>
      <c r="H306" s="417"/>
      <c r="I306" s="443"/>
      <c r="J306" s="1011"/>
      <c r="K306" s="443"/>
      <c r="L306" s="444"/>
      <c r="M306" s="445"/>
      <c r="N306" s="425" t="s">
        <v>485</v>
      </c>
      <c r="O306" s="395">
        <f>O303-O301</f>
        <v>0</v>
      </c>
      <c r="P306" s="407" t="s">
        <v>453</v>
      </c>
      <c r="Q306" s="424"/>
      <c r="R306" s="419"/>
      <c r="S306" s="419"/>
      <c r="T306" s="419"/>
    </row>
    <row r="307" spans="2:20" ht="19.5" customHeight="1">
      <c r="B307" s="1357"/>
      <c r="C307" s="1357"/>
      <c r="D307" s="1392"/>
      <c r="E307" s="442"/>
      <c r="F307" s="416"/>
      <c r="G307" s="416"/>
      <c r="H307" s="417"/>
      <c r="I307" s="443"/>
      <c r="J307" s="1011"/>
      <c r="K307" s="443"/>
      <c r="L307" s="444"/>
      <c r="M307" s="445"/>
      <c r="N307" s="1795" t="s">
        <v>125</v>
      </c>
      <c r="O307" s="1620" t="str">
        <f>IF(O301&gt;G284/L276,"OVER","INSIDE")</f>
        <v>INSIDE</v>
      </c>
      <c r="P307" s="1621"/>
      <c r="Q307" s="424"/>
      <c r="R307" s="419"/>
      <c r="S307" s="419"/>
      <c r="T307" s="419"/>
    </row>
    <row r="308" spans="2:20" ht="19.5" customHeight="1" thickBot="1">
      <c r="B308" s="1357"/>
      <c r="C308" s="1357"/>
      <c r="D308" s="1392"/>
      <c r="E308" s="442"/>
      <c r="F308" s="416"/>
      <c r="G308" s="416"/>
      <c r="H308" s="417"/>
      <c r="I308" s="443"/>
      <c r="J308" s="1011"/>
      <c r="K308" s="443"/>
      <c r="L308" s="444"/>
      <c r="M308" s="445"/>
      <c r="N308" s="1796"/>
      <c r="O308" s="1622"/>
      <c r="P308" s="1623"/>
      <c r="Q308" s="424"/>
      <c r="R308" s="419"/>
      <c r="S308" s="419"/>
      <c r="T308" s="419"/>
    </row>
    <row r="309" spans="2:20" ht="19.5" customHeight="1">
      <c r="B309" s="1357" t="s">
        <v>108</v>
      </c>
      <c r="C309" s="1357" t="s">
        <v>400</v>
      </c>
      <c r="D309" s="1392" t="s">
        <v>212</v>
      </c>
      <c r="E309" s="666"/>
      <c r="F309" s="446" t="s">
        <v>1</v>
      </c>
      <c r="G309" s="1397">
        <f>LEN(LEFT('記入シート'!D186,2))</f>
        <v>0</v>
      </c>
      <c r="H309" s="1398"/>
      <c r="I309" s="440" t="s">
        <v>452</v>
      </c>
      <c r="J309" s="1771" t="s">
        <v>353</v>
      </c>
      <c r="K309" s="1181">
        <f ca="1">CELL("row",'記入シート'!D186)</f>
        <v>186</v>
      </c>
      <c r="L309" s="1784">
        <v>2</v>
      </c>
      <c r="M309" s="1802">
        <f>M242</f>
        <v>132</v>
      </c>
      <c r="N309" s="1762" t="s">
        <v>8</v>
      </c>
      <c r="O309" s="1764">
        <f>IF(G309=0,0,1)</f>
        <v>0</v>
      </c>
      <c r="P309" s="1765" t="s">
        <v>453</v>
      </c>
      <c r="Q309" s="503" t="s">
        <v>6</v>
      </c>
      <c r="R309" s="419"/>
      <c r="S309" s="419"/>
      <c r="T309" s="419"/>
    </row>
    <row r="310" spans="2:20" ht="19.5" customHeight="1">
      <c r="B310" s="1357"/>
      <c r="C310" s="1357"/>
      <c r="D310" s="1392"/>
      <c r="E310" s="667"/>
      <c r="F310" s="420" t="s">
        <v>2</v>
      </c>
      <c r="G310" s="1399">
        <f>L309-G309</f>
        <v>2</v>
      </c>
      <c r="H310" s="1400"/>
      <c r="I310" s="398" t="s">
        <v>452</v>
      </c>
      <c r="J310" s="1770"/>
      <c r="K310" s="1182"/>
      <c r="L310" s="1779"/>
      <c r="M310" s="1801"/>
      <c r="N310" s="1763"/>
      <c r="O310" s="1415"/>
      <c r="P310" s="1418"/>
      <c r="Q310" s="986">
        <f>IF(G280=0,"",IF(O309=0,REPT("　",5*O311),CONCATENATE(REPT("　",G310),LEFT('記入シート'!D186,L309),"／",REPT("　",G312),LEFT('記入シート'!G186,L311),REPT("　",5*O311))))</f>
      </c>
      <c r="R310" s="419"/>
      <c r="S310" s="419"/>
      <c r="T310" s="419"/>
    </row>
    <row r="311" spans="2:20" ht="19.5" customHeight="1">
      <c r="B311" s="1357"/>
      <c r="C311" s="1357"/>
      <c r="D311" s="1392"/>
      <c r="E311" s="667"/>
      <c r="F311" s="420" t="s">
        <v>3</v>
      </c>
      <c r="G311" s="1399">
        <f>LEN(LEFT('記入シート'!G186,2))</f>
        <v>0</v>
      </c>
      <c r="H311" s="1400"/>
      <c r="I311" s="398" t="s">
        <v>452</v>
      </c>
      <c r="J311" s="1770" t="s">
        <v>354</v>
      </c>
      <c r="K311" s="1183">
        <f ca="1">CELL("row",'記入シート'!G186)</f>
        <v>186</v>
      </c>
      <c r="L311" s="1779">
        <v>2</v>
      </c>
      <c r="M311" s="1800">
        <f>M242</f>
        <v>132</v>
      </c>
      <c r="N311" s="447" t="s">
        <v>9</v>
      </c>
      <c r="O311" s="448">
        <f>IF(O303=0,0,O303-O309)</f>
        <v>0</v>
      </c>
      <c r="P311" s="423" t="s">
        <v>453</v>
      </c>
      <c r="Q311" s="987"/>
      <c r="R311" s="419"/>
      <c r="S311" s="419"/>
      <c r="T311" s="419"/>
    </row>
    <row r="312" spans="2:20" ht="19.5" customHeight="1">
      <c r="B312" s="1357"/>
      <c r="C312" s="1357"/>
      <c r="D312" s="1392"/>
      <c r="E312" s="414" t="s">
        <v>403</v>
      </c>
      <c r="F312" s="420" t="s">
        <v>461</v>
      </c>
      <c r="G312" s="1399">
        <f>L311-G311</f>
        <v>2</v>
      </c>
      <c r="H312" s="1400"/>
      <c r="I312" s="398" t="s">
        <v>452</v>
      </c>
      <c r="J312" s="1770"/>
      <c r="K312" s="1182"/>
      <c r="L312" s="1779"/>
      <c r="M312" s="1800"/>
      <c r="N312" s="394"/>
      <c r="O312" s="395"/>
      <c r="P312" s="396"/>
      <c r="Q312" s="988"/>
      <c r="R312" s="419"/>
      <c r="S312" s="419"/>
      <c r="T312" s="419"/>
    </row>
    <row r="313" spans="2:20" ht="19.5" customHeight="1">
      <c r="B313" s="1357"/>
      <c r="C313" s="1357"/>
      <c r="D313" s="1392"/>
      <c r="E313" s="414" t="s">
        <v>278</v>
      </c>
      <c r="F313" s="420" t="s">
        <v>4</v>
      </c>
      <c r="G313" s="1399">
        <f>LEN(LEFT('記入シート'!N186,2))</f>
        <v>0</v>
      </c>
      <c r="H313" s="1400"/>
      <c r="I313" s="398" t="s">
        <v>452</v>
      </c>
      <c r="J313" s="1770" t="s">
        <v>355</v>
      </c>
      <c r="K313" s="1183">
        <f ca="1">CELL("row",'記入シート'!N186)</f>
        <v>186</v>
      </c>
      <c r="L313" s="1779">
        <v>2</v>
      </c>
      <c r="M313" s="1800">
        <f>M242</f>
        <v>132</v>
      </c>
      <c r="N313" s="1785" t="s">
        <v>178</v>
      </c>
      <c r="O313" s="1776">
        <f>IF(G313=0,0,1)</f>
        <v>0</v>
      </c>
      <c r="P313" s="1769" t="s">
        <v>453</v>
      </c>
      <c r="Q313" s="503" t="s">
        <v>7</v>
      </c>
      <c r="R313" s="419"/>
      <c r="S313" s="419"/>
      <c r="T313" s="419"/>
    </row>
    <row r="314" spans="2:20" ht="19.5" customHeight="1">
      <c r="B314" s="1357"/>
      <c r="C314" s="1357"/>
      <c r="D314" s="1392"/>
      <c r="E314" s="667"/>
      <c r="F314" s="420" t="s">
        <v>5</v>
      </c>
      <c r="G314" s="1399">
        <f>L313-G313</f>
        <v>2</v>
      </c>
      <c r="H314" s="1400"/>
      <c r="I314" s="398" t="s">
        <v>452</v>
      </c>
      <c r="J314" s="1770"/>
      <c r="K314" s="1182"/>
      <c r="L314" s="1779"/>
      <c r="M314" s="1800"/>
      <c r="N314" s="1763"/>
      <c r="O314" s="1415"/>
      <c r="P314" s="1418"/>
      <c r="Q314" s="986">
        <f>IF(G280=0,"",IF(O313=0,REPT("　",5*O315),CONCATENATE(REPT("　",G314),LEFT('記入シート'!N186,L313),"／",REPT("　",G316),LEFT('記入シート'!Q186,L315),REPT("　",5*O315))))</f>
      </c>
      <c r="R314" s="419"/>
      <c r="S314" s="419"/>
      <c r="T314" s="419"/>
    </row>
    <row r="315" spans="2:20" ht="19.5" customHeight="1">
      <c r="B315" s="1357"/>
      <c r="C315" s="1357"/>
      <c r="D315" s="1392"/>
      <c r="E315" s="667"/>
      <c r="F315" s="420" t="s">
        <v>462</v>
      </c>
      <c r="G315" s="1399">
        <f>LEN(LEFT('記入シート'!Q186,2))</f>
        <v>0</v>
      </c>
      <c r="H315" s="1400"/>
      <c r="I315" s="398" t="s">
        <v>452</v>
      </c>
      <c r="J315" s="1770" t="s">
        <v>356</v>
      </c>
      <c r="K315" s="1183">
        <f ca="1">CELL("row",'記入シート'!Q186)</f>
        <v>186</v>
      </c>
      <c r="L315" s="1779">
        <v>2</v>
      </c>
      <c r="M315" s="1800">
        <f>M242</f>
        <v>132</v>
      </c>
      <c r="N315" s="447" t="s">
        <v>179</v>
      </c>
      <c r="O315" s="448">
        <f>IF(O303=0,0,O303-O313)</f>
        <v>0</v>
      </c>
      <c r="P315" s="423" t="s">
        <v>453</v>
      </c>
      <c r="Q315" s="987"/>
      <c r="R315" s="419"/>
      <c r="S315" s="419"/>
      <c r="T315" s="419"/>
    </row>
    <row r="316" spans="2:20" ht="19.5" customHeight="1" thickBot="1">
      <c r="B316" s="1357"/>
      <c r="C316" s="1357"/>
      <c r="D316" s="1392"/>
      <c r="E316" s="668"/>
      <c r="F316" s="420" t="s">
        <v>463</v>
      </c>
      <c r="G316" s="1926">
        <f>L315-G315</f>
        <v>2</v>
      </c>
      <c r="H316" s="1927"/>
      <c r="I316" s="398" t="s">
        <v>452</v>
      </c>
      <c r="J316" s="1791"/>
      <c r="K316" s="1184"/>
      <c r="L316" s="1780"/>
      <c r="M316" s="1801"/>
      <c r="N316" s="394"/>
      <c r="O316" s="395"/>
      <c r="P316" s="396"/>
      <c r="Q316" s="989"/>
      <c r="R316" s="419"/>
      <c r="S316" s="419"/>
      <c r="T316" s="419"/>
    </row>
    <row r="317" spans="2:20" ht="19.5" customHeight="1">
      <c r="B317" s="1357"/>
      <c r="C317" s="1357"/>
      <c r="D317" s="1392" t="s">
        <v>212</v>
      </c>
      <c r="E317" s="438" t="s">
        <v>404</v>
      </c>
      <c r="F317" s="449" t="s">
        <v>420</v>
      </c>
      <c r="G317" s="1397">
        <f>LEN(LEFT('記入シート'!C189,L317))</f>
        <v>0</v>
      </c>
      <c r="H317" s="1398"/>
      <c r="I317" s="440" t="s">
        <v>452</v>
      </c>
      <c r="J317" s="1424" t="s">
        <v>352</v>
      </c>
      <c r="K317" s="1186">
        <f ca="1">CELL("row",'記入シート'!C189)</f>
        <v>189</v>
      </c>
      <c r="L317" s="1425">
        <v>1</v>
      </c>
      <c r="M317" s="1426">
        <f>M242</f>
        <v>132</v>
      </c>
      <c r="N317" s="1762" t="s">
        <v>10</v>
      </c>
      <c r="O317" s="1764">
        <f>IF(G317=0,0,1)</f>
        <v>0</v>
      </c>
      <c r="P317" s="1765" t="s">
        <v>453</v>
      </c>
      <c r="Q317" s="639">
        <f>IF(G278=0,"",CONCATENATE(LEFT('記入シート'!C189,1),REPT("　",O319)))</f>
      </c>
      <c r="R317" s="419"/>
      <c r="S317" s="419"/>
      <c r="T317" s="419"/>
    </row>
    <row r="318" spans="2:20" ht="19.5" customHeight="1">
      <c r="B318" s="1357"/>
      <c r="C318" s="1357"/>
      <c r="D318" s="1392"/>
      <c r="E318" s="414" t="s">
        <v>278</v>
      </c>
      <c r="F318" s="441" t="s">
        <v>460</v>
      </c>
      <c r="G318" s="1399">
        <f>L317-G317</f>
        <v>1</v>
      </c>
      <c r="H318" s="1400"/>
      <c r="I318" s="398" t="s">
        <v>452</v>
      </c>
      <c r="J318" s="1402"/>
      <c r="K318" s="1187"/>
      <c r="L318" s="1405"/>
      <c r="M318" s="1408"/>
      <c r="N318" s="1763"/>
      <c r="O318" s="1415"/>
      <c r="P318" s="1418"/>
      <c r="Q318" s="424"/>
      <c r="R318" s="419"/>
      <c r="S318" s="419"/>
      <c r="T318" s="419"/>
    </row>
    <row r="319" spans="2:20" ht="19.5" customHeight="1" thickBot="1">
      <c r="B319" s="1358"/>
      <c r="C319" s="1358"/>
      <c r="D319" s="1393"/>
      <c r="E319" s="669"/>
      <c r="F319" s="450" t="s">
        <v>158</v>
      </c>
      <c r="G319" s="451" t="s">
        <v>159</v>
      </c>
      <c r="H319" s="452">
        <f>WIDECHAR('記入シート'!C189)</f>
      </c>
      <c r="I319" s="453" t="s">
        <v>160</v>
      </c>
      <c r="J319" s="1792"/>
      <c r="K319" s="1189"/>
      <c r="L319" s="1793"/>
      <c r="M319" s="1794"/>
      <c r="N319" s="454" t="s">
        <v>486</v>
      </c>
      <c r="O319" s="455">
        <f>IF(O303=0,0,O303-O317)</f>
        <v>0</v>
      </c>
      <c r="P319" s="396" t="s">
        <v>453</v>
      </c>
      <c r="Q319" s="424"/>
      <c r="R319" s="419"/>
      <c r="S319" s="419"/>
      <c r="T319" s="419"/>
    </row>
    <row r="320" spans="2:20" ht="19.5" customHeight="1" thickTop="1">
      <c r="B320" s="1390" t="s">
        <v>109</v>
      </c>
      <c r="C320" s="1390" t="s">
        <v>400</v>
      </c>
      <c r="D320" s="1396" t="s">
        <v>487</v>
      </c>
      <c r="E320" s="872" t="s">
        <v>437</v>
      </c>
      <c r="F320" s="873"/>
      <c r="G320" s="1928">
        <f>IF(G276-G283-O276*L276&lt;0,0,G276-G283-O276*L276)</f>
        <v>2527</v>
      </c>
      <c r="H320" s="1929"/>
      <c r="I320" s="873" t="s">
        <v>452</v>
      </c>
      <c r="J320" s="1401" t="s">
        <v>351</v>
      </c>
      <c r="K320" s="1186">
        <f ca="1">CELL("row",'記入シート'!C194)</f>
        <v>194</v>
      </c>
      <c r="L320" s="1404">
        <f>$L$32</f>
        <v>19</v>
      </c>
      <c r="M320" s="1407">
        <f>G328/L320</f>
        <v>132</v>
      </c>
      <c r="N320" s="1410" t="s">
        <v>481</v>
      </c>
      <c r="O320" s="1413">
        <f>O347-G325</f>
        <v>0</v>
      </c>
      <c r="P320" s="1416" t="s">
        <v>453</v>
      </c>
      <c r="Q320" s="1263">
        <f>IF(G324=0,REPT("　",O320*L320),CONCATENATE("②　",'記入シート'!C194,REPT("　",O320*L320+ABS(G326))))</f>
      </c>
      <c r="R320" s="1264"/>
      <c r="S320" s="1264"/>
      <c r="T320" s="1265"/>
    </row>
    <row r="321" spans="2:20" ht="19.5" customHeight="1">
      <c r="B321" s="1357"/>
      <c r="C321" s="1357"/>
      <c r="D321" s="1392"/>
      <c r="E321" s="855" t="s">
        <v>135</v>
      </c>
      <c r="F321" s="846"/>
      <c r="G321" s="1434">
        <f>IF(G320&gt;2,G320-2,0)</f>
        <v>2525</v>
      </c>
      <c r="H321" s="1435"/>
      <c r="I321" s="846" t="s">
        <v>452</v>
      </c>
      <c r="J321" s="1402"/>
      <c r="K321" s="1187"/>
      <c r="L321" s="1405"/>
      <c r="M321" s="1408"/>
      <c r="N321" s="1411"/>
      <c r="O321" s="1414"/>
      <c r="P321" s="1417"/>
      <c r="Q321" s="1266"/>
      <c r="R321" s="1267"/>
      <c r="S321" s="1267"/>
      <c r="T321" s="1268"/>
    </row>
    <row r="322" spans="2:20" ht="19.5" customHeight="1">
      <c r="B322" s="1357"/>
      <c r="C322" s="1357"/>
      <c r="D322" s="1392"/>
      <c r="E322" s="856" t="s">
        <v>150</v>
      </c>
      <c r="F322" s="843"/>
      <c r="G322" s="1434">
        <f>LEN('記入シート'!C194)</f>
        <v>0</v>
      </c>
      <c r="H322" s="1435"/>
      <c r="I322" s="846" t="s">
        <v>452</v>
      </c>
      <c r="J322" s="1402"/>
      <c r="K322" s="1187"/>
      <c r="L322" s="1405"/>
      <c r="M322" s="1408"/>
      <c r="N322" s="1412"/>
      <c r="O322" s="1415"/>
      <c r="P322" s="1418"/>
      <c r="Q322" s="1266"/>
      <c r="R322" s="1267"/>
      <c r="S322" s="1267"/>
      <c r="T322" s="1268"/>
    </row>
    <row r="323" spans="2:20" ht="19.5" customHeight="1">
      <c r="B323" s="1357"/>
      <c r="C323" s="1357"/>
      <c r="D323" s="1392"/>
      <c r="E323" s="856" t="s">
        <v>167</v>
      </c>
      <c r="F323" s="843"/>
      <c r="G323" s="1755" t="str">
        <f>IF(G322&gt;G321,"OVER","INSIDE")</f>
        <v>INSIDE</v>
      </c>
      <c r="H323" s="1756"/>
      <c r="I323" s="1757"/>
      <c r="J323" s="1402"/>
      <c r="K323" s="1187"/>
      <c r="L323" s="1405"/>
      <c r="M323" s="1408"/>
      <c r="N323" s="410"/>
      <c r="O323" s="395"/>
      <c r="P323" s="396"/>
      <c r="Q323" s="1266"/>
      <c r="R323" s="1267"/>
      <c r="S323" s="1267"/>
      <c r="T323" s="1268"/>
    </row>
    <row r="324" spans="2:20" ht="19.5" customHeight="1">
      <c r="B324" s="1357"/>
      <c r="C324" s="1357"/>
      <c r="D324" s="1392"/>
      <c r="E324" s="408" t="s">
        <v>154</v>
      </c>
      <c r="F324" s="384"/>
      <c r="G324" s="1399">
        <f>IF(G322=0,0,IF(G323="OVER",0,G322+2))</f>
        <v>0</v>
      </c>
      <c r="H324" s="1400"/>
      <c r="I324" s="387" t="s">
        <v>452</v>
      </c>
      <c r="J324" s="1402"/>
      <c r="K324" s="1187"/>
      <c r="L324" s="1405"/>
      <c r="M324" s="1408"/>
      <c r="N324" s="410"/>
      <c r="O324" s="395"/>
      <c r="P324" s="396"/>
      <c r="Q324" s="1266"/>
      <c r="R324" s="1267"/>
      <c r="S324" s="1267"/>
      <c r="T324" s="1268"/>
    </row>
    <row r="325" spans="2:20" ht="19.5" customHeight="1">
      <c r="B325" s="1357"/>
      <c r="C325" s="1357"/>
      <c r="D325" s="1392"/>
      <c r="E325" s="894" t="s">
        <v>451</v>
      </c>
      <c r="F325" s="411"/>
      <c r="G325" s="1399">
        <f>ROUNDUP(G324/L320,0)</f>
        <v>0</v>
      </c>
      <c r="H325" s="1400"/>
      <c r="I325" s="387" t="s">
        <v>453</v>
      </c>
      <c r="J325" s="1402"/>
      <c r="K325" s="1187"/>
      <c r="L325" s="1405"/>
      <c r="M325" s="1408"/>
      <c r="N325" s="410"/>
      <c r="O325" s="395"/>
      <c r="P325" s="396"/>
      <c r="Q325" s="1266"/>
      <c r="R325" s="1267"/>
      <c r="S325" s="1267"/>
      <c r="T325" s="1268"/>
    </row>
    <row r="326" spans="2:20" ht="19.5" customHeight="1">
      <c r="B326" s="1357"/>
      <c r="C326" s="1357"/>
      <c r="D326" s="1392"/>
      <c r="E326" s="894" t="s">
        <v>419</v>
      </c>
      <c r="F326" s="411"/>
      <c r="G326" s="1399">
        <f>G324-G325*L320</f>
        <v>0</v>
      </c>
      <c r="H326" s="1400"/>
      <c r="I326" s="387" t="s">
        <v>452</v>
      </c>
      <c r="J326" s="1402"/>
      <c r="K326" s="1187"/>
      <c r="L326" s="1405"/>
      <c r="M326" s="1408"/>
      <c r="N326" s="410"/>
      <c r="O326" s="395"/>
      <c r="P326" s="396"/>
      <c r="Q326" s="1266"/>
      <c r="R326" s="1267"/>
      <c r="S326" s="1267"/>
      <c r="T326" s="1268"/>
    </row>
    <row r="327" spans="2:20" ht="19.5" customHeight="1" thickBot="1">
      <c r="B327" s="1357"/>
      <c r="C327" s="1357"/>
      <c r="D327" s="1392"/>
      <c r="E327" s="895" t="s">
        <v>423</v>
      </c>
      <c r="F327" s="420"/>
      <c r="G327" s="1429">
        <f>G325*L320</f>
        <v>0</v>
      </c>
      <c r="H327" s="1430"/>
      <c r="I327" s="398" t="s">
        <v>452</v>
      </c>
      <c r="J327" s="1402"/>
      <c r="K327" s="1187"/>
      <c r="L327" s="1405"/>
      <c r="M327" s="1408"/>
      <c r="N327" s="410"/>
      <c r="O327" s="395"/>
      <c r="P327" s="396"/>
      <c r="Q327" s="1266"/>
      <c r="R327" s="1267"/>
      <c r="S327" s="1267"/>
      <c r="T327" s="1268"/>
    </row>
    <row r="328" spans="2:20" ht="19.5" customHeight="1">
      <c r="B328" s="1357" t="s">
        <v>109</v>
      </c>
      <c r="C328" s="1389" t="s">
        <v>332</v>
      </c>
      <c r="D328" s="1391" t="s">
        <v>487</v>
      </c>
      <c r="E328" s="405" t="s">
        <v>437</v>
      </c>
      <c r="F328" s="401"/>
      <c r="G328" s="1397">
        <f>IF(G284-G283-O276*L276&lt;0,0,G284-G283-O276*L276)</f>
        <v>2508</v>
      </c>
      <c r="H328" s="1398"/>
      <c r="I328" s="401" t="s">
        <v>452</v>
      </c>
      <c r="J328" s="1402"/>
      <c r="K328" s="1187"/>
      <c r="L328" s="1405"/>
      <c r="M328" s="1408"/>
      <c r="N328" s="410"/>
      <c r="O328" s="395"/>
      <c r="P328" s="396"/>
      <c r="Q328" s="1266"/>
      <c r="R328" s="1267"/>
      <c r="S328" s="1267"/>
      <c r="T328" s="1268"/>
    </row>
    <row r="329" spans="2:20" ht="19.5" customHeight="1">
      <c r="B329" s="1357"/>
      <c r="C329" s="1357"/>
      <c r="D329" s="1392"/>
      <c r="E329" s="406" t="s">
        <v>135</v>
      </c>
      <c r="F329" s="387"/>
      <c r="G329" s="1206">
        <f>IF(G328&gt;2,G328-2,0)</f>
        <v>2506</v>
      </c>
      <c r="H329" s="1207"/>
      <c r="I329" s="796" t="s">
        <v>452</v>
      </c>
      <c r="J329" s="1402"/>
      <c r="K329" s="1187"/>
      <c r="L329" s="1405"/>
      <c r="M329" s="1408"/>
      <c r="N329" s="410"/>
      <c r="O329" s="395"/>
      <c r="P329" s="396"/>
      <c r="Q329" s="1266"/>
      <c r="R329" s="1267"/>
      <c r="S329" s="1267"/>
      <c r="T329" s="1268"/>
    </row>
    <row r="330" spans="2:20" ht="19.5" customHeight="1">
      <c r="B330" s="1357"/>
      <c r="C330" s="1357"/>
      <c r="D330" s="1392"/>
      <c r="E330" s="406" t="s">
        <v>150</v>
      </c>
      <c r="F330" s="387"/>
      <c r="G330" s="1399">
        <f>LEN('記入シート'!C194)</f>
        <v>0</v>
      </c>
      <c r="H330" s="1400"/>
      <c r="I330" s="387" t="s">
        <v>452</v>
      </c>
      <c r="J330" s="1402"/>
      <c r="K330" s="1187"/>
      <c r="L330" s="1405"/>
      <c r="M330" s="1408"/>
      <c r="N330" s="410"/>
      <c r="O330" s="395"/>
      <c r="P330" s="396"/>
      <c r="Q330" s="1266"/>
      <c r="R330" s="1267"/>
      <c r="S330" s="1267"/>
      <c r="T330" s="1268"/>
    </row>
    <row r="331" spans="2:20" ht="19.5" customHeight="1" thickBot="1">
      <c r="B331" s="1357"/>
      <c r="C331" s="1395"/>
      <c r="D331" s="1394"/>
      <c r="E331" s="871" t="s">
        <v>167</v>
      </c>
      <c r="F331" s="412"/>
      <c r="G331" s="1421" t="str">
        <f>IF(G330&gt;G329,"OVER","INSIDE")</f>
        <v>INSIDE</v>
      </c>
      <c r="H331" s="1422"/>
      <c r="I331" s="1423"/>
      <c r="J331" s="1403"/>
      <c r="K331" s="1188"/>
      <c r="L331" s="1406"/>
      <c r="M331" s="1409"/>
      <c r="N331" s="413"/>
      <c r="O331" s="403"/>
      <c r="P331" s="404"/>
      <c r="Q331" s="1269"/>
      <c r="R331" s="1270"/>
      <c r="S331" s="1270"/>
      <c r="T331" s="1271"/>
    </row>
    <row r="332" spans="2:20" ht="19.5" customHeight="1">
      <c r="B332" s="1357" t="s">
        <v>109</v>
      </c>
      <c r="C332" s="1357" t="s">
        <v>400</v>
      </c>
      <c r="D332" s="1392" t="s">
        <v>487</v>
      </c>
      <c r="E332" s="667"/>
      <c r="F332" s="415" t="s">
        <v>455</v>
      </c>
      <c r="G332" s="1419">
        <f>LEN(LEFT('記入シート'!C198,L332))</f>
        <v>0</v>
      </c>
      <c r="H332" s="1420"/>
      <c r="I332" s="418" t="s">
        <v>452</v>
      </c>
      <c r="J332" s="1772" t="s">
        <v>352</v>
      </c>
      <c r="K332" s="1186">
        <f ca="1">CELL("row",'記入シート'!C198)</f>
        <v>198</v>
      </c>
      <c r="L332" s="1405">
        <f>$L$40</f>
        <v>6</v>
      </c>
      <c r="M332" s="1797">
        <f>M320</f>
        <v>132</v>
      </c>
      <c r="N332" s="1787" t="s">
        <v>474</v>
      </c>
      <c r="O332" s="1414">
        <f>SUM(G332:H339)</f>
        <v>0</v>
      </c>
      <c r="P332" s="1798" t="s">
        <v>452</v>
      </c>
      <c r="Q332" s="1554">
        <f>IF(O337=0,REPT("　",O347*L332),CONCATENATE(LEFT('記入シート'!C198,L332),REPT("　",G333),LEFT('記入シート'!C199,L332),REPT("　",G335),LEFT('記入シート'!C200,L332),REPT("　",G337),LEFT('記入シート'!C201,L332),REPT("　",G339),REPT("　",L332*O339)))</f>
      </c>
      <c r="R332" s="313"/>
      <c r="S332" s="313"/>
      <c r="T332" s="313"/>
    </row>
    <row r="333" spans="2:20" ht="19.5" customHeight="1">
      <c r="B333" s="1357"/>
      <c r="C333" s="1357"/>
      <c r="D333" s="1392"/>
      <c r="E333" s="667"/>
      <c r="F333" s="420" t="s">
        <v>458</v>
      </c>
      <c r="G333" s="1399">
        <f>IF(G332=0,0,L332-G332)</f>
        <v>0</v>
      </c>
      <c r="H333" s="1400"/>
      <c r="I333" s="398" t="s">
        <v>452</v>
      </c>
      <c r="J333" s="1770"/>
      <c r="K333" s="1187"/>
      <c r="L333" s="1405"/>
      <c r="M333" s="1797"/>
      <c r="N333" s="1787"/>
      <c r="O333" s="1414"/>
      <c r="P333" s="1798"/>
      <c r="Q333" s="1554"/>
      <c r="R333" s="313"/>
      <c r="S333" s="313"/>
      <c r="T333" s="313"/>
    </row>
    <row r="334" spans="2:20" ht="19.5" customHeight="1">
      <c r="B334" s="1357"/>
      <c r="C334" s="1357"/>
      <c r="D334" s="1392"/>
      <c r="E334" s="667"/>
      <c r="F334" s="420" t="s">
        <v>456</v>
      </c>
      <c r="G334" s="1399">
        <f>LEN(LEFT('記入シート'!C199,L332))</f>
        <v>0</v>
      </c>
      <c r="H334" s="1400"/>
      <c r="I334" s="398" t="s">
        <v>452</v>
      </c>
      <c r="J334" s="1770" t="s">
        <v>352</v>
      </c>
      <c r="K334" s="1185">
        <f ca="1">CELL("row",'記入シート'!C199)</f>
        <v>199</v>
      </c>
      <c r="L334" s="1405"/>
      <c r="M334" s="1797"/>
      <c r="N334" s="1787"/>
      <c r="O334" s="1414"/>
      <c r="P334" s="1798"/>
      <c r="Q334" s="1554"/>
      <c r="R334" s="313"/>
      <c r="S334" s="313"/>
      <c r="T334" s="313"/>
    </row>
    <row r="335" spans="2:20" ht="19.5" customHeight="1">
      <c r="B335" s="1357"/>
      <c r="C335" s="1357"/>
      <c r="D335" s="1392"/>
      <c r="E335" s="414" t="s">
        <v>401</v>
      </c>
      <c r="F335" s="420" t="s">
        <v>459</v>
      </c>
      <c r="G335" s="1399">
        <f>IF(G334=0,0,L332-G334)</f>
        <v>0</v>
      </c>
      <c r="H335" s="1400"/>
      <c r="I335" s="398" t="s">
        <v>452</v>
      </c>
      <c r="J335" s="1770"/>
      <c r="K335" s="1185"/>
      <c r="L335" s="1405"/>
      <c r="M335" s="1797"/>
      <c r="N335" s="1787"/>
      <c r="O335" s="1414"/>
      <c r="P335" s="1798"/>
      <c r="Q335" s="1549"/>
      <c r="R335" s="313"/>
      <c r="S335" s="313"/>
      <c r="T335" s="313"/>
    </row>
    <row r="336" spans="2:20" ht="19.5" customHeight="1">
      <c r="B336" s="1357"/>
      <c r="C336" s="1357"/>
      <c r="D336" s="1392"/>
      <c r="E336" s="414" t="s">
        <v>279</v>
      </c>
      <c r="F336" s="411" t="s">
        <v>475</v>
      </c>
      <c r="G336" s="1399">
        <f>LEN(LEFT('記入シート'!C200,L332))</f>
        <v>0</v>
      </c>
      <c r="H336" s="1400"/>
      <c r="I336" s="398" t="s">
        <v>452</v>
      </c>
      <c r="J336" s="1790" t="s">
        <v>352</v>
      </c>
      <c r="K336" s="1185">
        <f ca="1">CELL("row",'記入シート'!C200)</f>
        <v>200</v>
      </c>
      <c r="L336" s="1405"/>
      <c r="M336" s="1797"/>
      <c r="N336" s="1788"/>
      <c r="O336" s="1415"/>
      <c r="P336" s="1799"/>
      <c r="Q336" s="320"/>
      <c r="R336" s="313"/>
      <c r="S336" s="313"/>
      <c r="T336" s="313"/>
    </row>
    <row r="337" spans="2:20" ht="19.5" customHeight="1">
      <c r="B337" s="1357"/>
      <c r="C337" s="1357"/>
      <c r="D337" s="1392"/>
      <c r="E337" s="667"/>
      <c r="F337" s="411" t="s">
        <v>476</v>
      </c>
      <c r="G337" s="1399">
        <f>IF(G336=0,0,L332-G336)</f>
        <v>0</v>
      </c>
      <c r="H337" s="1400"/>
      <c r="I337" s="398" t="s">
        <v>452</v>
      </c>
      <c r="J337" s="1772"/>
      <c r="K337" s="1185"/>
      <c r="L337" s="1405"/>
      <c r="M337" s="1797"/>
      <c r="N337" s="1774" t="s">
        <v>480</v>
      </c>
      <c r="O337" s="1776">
        <f>O332/$L$40</f>
        <v>0</v>
      </c>
      <c r="P337" s="1769" t="s">
        <v>453</v>
      </c>
      <c r="Q337" s="320"/>
      <c r="R337" s="313"/>
      <c r="S337" s="313"/>
      <c r="T337" s="313"/>
    </row>
    <row r="338" spans="2:20" ht="19.5" customHeight="1">
      <c r="B338" s="1357"/>
      <c r="C338" s="1357"/>
      <c r="D338" s="1392"/>
      <c r="E338" s="667"/>
      <c r="F338" s="411" t="s">
        <v>477</v>
      </c>
      <c r="G338" s="1399">
        <f>LEN(LEFT('記入シート'!C201,L332))</f>
        <v>0</v>
      </c>
      <c r="H338" s="1400"/>
      <c r="I338" s="398" t="s">
        <v>452</v>
      </c>
      <c r="J338" s="1790" t="s">
        <v>352</v>
      </c>
      <c r="K338" s="1185">
        <f ca="1">CELL("row",'記入シート'!C201)</f>
        <v>201</v>
      </c>
      <c r="L338" s="1405"/>
      <c r="M338" s="1797"/>
      <c r="N338" s="1412"/>
      <c r="O338" s="1415"/>
      <c r="P338" s="1418"/>
      <c r="Q338" s="995"/>
      <c r="R338" s="313"/>
      <c r="S338" s="313"/>
      <c r="T338" s="313"/>
    </row>
    <row r="339" spans="2:20" ht="19.5" customHeight="1">
      <c r="B339" s="1357"/>
      <c r="C339" s="1357"/>
      <c r="D339" s="1392"/>
      <c r="E339" s="667"/>
      <c r="F339" s="420" t="s">
        <v>478</v>
      </c>
      <c r="G339" s="1399">
        <f>IF(G338=0,0,L332-G338)</f>
        <v>0</v>
      </c>
      <c r="H339" s="1400"/>
      <c r="I339" s="398" t="s">
        <v>452</v>
      </c>
      <c r="J339" s="1402"/>
      <c r="K339" s="1185"/>
      <c r="L339" s="1405"/>
      <c r="M339" s="1797"/>
      <c r="N339" s="456" t="s">
        <v>482</v>
      </c>
      <c r="O339" s="457">
        <f>O347-O337</f>
        <v>0</v>
      </c>
      <c r="P339" s="426" t="s">
        <v>453</v>
      </c>
      <c r="Q339" s="995"/>
      <c r="R339" s="313"/>
      <c r="S339" s="313"/>
      <c r="T339" s="313"/>
    </row>
    <row r="340" spans="2:20" ht="19.5" customHeight="1">
      <c r="B340" s="1357"/>
      <c r="C340" s="1357"/>
      <c r="D340" s="1392"/>
      <c r="E340" s="442"/>
      <c r="F340" s="421"/>
      <c r="G340" s="421"/>
      <c r="H340" s="422"/>
      <c r="I340" s="429"/>
      <c r="J340" s="1009"/>
      <c r="K340" s="1022"/>
      <c r="L340" s="430"/>
      <c r="M340" s="431"/>
      <c r="N340" s="1795" t="s">
        <v>124</v>
      </c>
      <c r="O340" s="1620" t="str">
        <f>IF(O337&gt;G328/L320,"OVER","INSIDE")</f>
        <v>INSIDE</v>
      </c>
      <c r="P340" s="1621"/>
      <c r="Q340" s="424"/>
      <c r="R340" s="419"/>
      <c r="S340" s="419"/>
      <c r="T340" s="419"/>
    </row>
    <row r="341" spans="2:20" ht="19.5" customHeight="1" thickBot="1">
      <c r="B341" s="1357"/>
      <c r="C341" s="1357"/>
      <c r="D341" s="1392"/>
      <c r="E341" s="432"/>
      <c r="F341" s="433"/>
      <c r="G341" s="433"/>
      <c r="H341" s="434"/>
      <c r="I341" s="435"/>
      <c r="J341" s="1010"/>
      <c r="K341" s="1023"/>
      <c r="L341" s="436"/>
      <c r="M341" s="437"/>
      <c r="N341" s="1796"/>
      <c r="O341" s="1622"/>
      <c r="P341" s="1623"/>
      <c r="Q341" s="424"/>
      <c r="R341" s="419"/>
      <c r="S341" s="419"/>
      <c r="T341" s="419"/>
    </row>
    <row r="342" spans="2:20" ht="19.5" customHeight="1">
      <c r="B342" s="1357" t="s">
        <v>109</v>
      </c>
      <c r="C342" s="1357" t="s">
        <v>400</v>
      </c>
      <c r="D342" s="1392" t="s">
        <v>487</v>
      </c>
      <c r="E342" s="666"/>
      <c r="F342" s="439" t="s">
        <v>455</v>
      </c>
      <c r="G342" s="1397">
        <f>LEN(LEFT('記入シート'!C204,L342))</f>
        <v>0</v>
      </c>
      <c r="H342" s="1398"/>
      <c r="I342" s="440" t="s">
        <v>452</v>
      </c>
      <c r="J342" s="1771" t="s">
        <v>352</v>
      </c>
      <c r="K342" s="1186">
        <f ca="1">CELL("row",'記入シート'!C204)</f>
        <v>204</v>
      </c>
      <c r="L342" s="1425">
        <f>$L$49</f>
        <v>6</v>
      </c>
      <c r="M342" s="1781">
        <f>M320</f>
        <v>132</v>
      </c>
      <c r="N342" s="1786" t="s">
        <v>484</v>
      </c>
      <c r="O342" s="1764">
        <f>SUM(G342:H345)</f>
        <v>0</v>
      </c>
      <c r="P342" s="1765" t="s">
        <v>452</v>
      </c>
      <c r="Q342" s="1548">
        <f>IF(O345=0,REPT("　",O347*L342),CONCATENATE(LEFT('記入シート'!C204,L342),REPT("　",G343),LEFT('記入シート'!C205,L342),REPT("　",G345),REPT("　",L342*O350)))</f>
      </c>
      <c r="R342" s="419"/>
      <c r="S342" s="419"/>
      <c r="T342" s="419"/>
    </row>
    <row r="343" spans="2:20" ht="19.5" customHeight="1">
      <c r="B343" s="1357"/>
      <c r="C343" s="1357"/>
      <c r="D343" s="1392"/>
      <c r="E343" s="414" t="s">
        <v>402</v>
      </c>
      <c r="F343" s="420" t="s">
        <v>458</v>
      </c>
      <c r="G343" s="1399">
        <f>IF(G342=0,0,$L$49-G342)</f>
        <v>0</v>
      </c>
      <c r="H343" s="1400"/>
      <c r="I343" s="398" t="s">
        <v>452</v>
      </c>
      <c r="J343" s="1770"/>
      <c r="K343" s="1187"/>
      <c r="L343" s="1405"/>
      <c r="M343" s="1783"/>
      <c r="N343" s="1787"/>
      <c r="O343" s="1414"/>
      <c r="P343" s="1417"/>
      <c r="Q343" s="1549"/>
      <c r="R343" s="419"/>
      <c r="S343" s="419"/>
      <c r="T343" s="419"/>
    </row>
    <row r="344" spans="2:20" ht="19.5" customHeight="1">
      <c r="B344" s="1357"/>
      <c r="C344" s="1357"/>
      <c r="D344" s="1392"/>
      <c r="E344" s="414" t="s">
        <v>279</v>
      </c>
      <c r="F344" s="420" t="s">
        <v>456</v>
      </c>
      <c r="G344" s="1399">
        <f>LEN(LEFT('記入シート'!C205,L342))</f>
        <v>0</v>
      </c>
      <c r="H344" s="1400"/>
      <c r="I344" s="398" t="s">
        <v>452</v>
      </c>
      <c r="J344" s="1790" t="s">
        <v>352</v>
      </c>
      <c r="K344" s="1183">
        <f ca="1">CELL("row",'記入シート'!C205)</f>
        <v>205</v>
      </c>
      <c r="L344" s="1405"/>
      <c r="M344" s="1783"/>
      <c r="N344" s="1788"/>
      <c r="O344" s="1415"/>
      <c r="P344" s="1418"/>
      <c r="Q344" s="424"/>
      <c r="R344" s="419"/>
      <c r="S344" s="419"/>
      <c r="T344" s="419"/>
    </row>
    <row r="345" spans="2:20" ht="19.5" customHeight="1">
      <c r="B345" s="1357"/>
      <c r="C345" s="1357"/>
      <c r="D345" s="1392"/>
      <c r="E345" s="667"/>
      <c r="F345" s="411" t="s">
        <v>459</v>
      </c>
      <c r="G345" s="1399">
        <f>IF(G344=0,0,$L$49-G344)</f>
        <v>0</v>
      </c>
      <c r="H345" s="1400"/>
      <c r="I345" s="387" t="s">
        <v>452</v>
      </c>
      <c r="J345" s="1772"/>
      <c r="K345" s="1182"/>
      <c r="L345" s="1773"/>
      <c r="M345" s="1783"/>
      <c r="N345" s="1774" t="s">
        <v>479</v>
      </c>
      <c r="O345" s="1776">
        <f>O342/$L$49</f>
        <v>0</v>
      </c>
      <c r="P345" s="1769" t="s">
        <v>453</v>
      </c>
      <c r="Q345" s="424"/>
      <c r="R345" s="419"/>
      <c r="S345" s="419"/>
      <c r="T345" s="419"/>
    </row>
    <row r="346" spans="2:20" ht="19.5" customHeight="1">
      <c r="B346" s="1357"/>
      <c r="C346" s="1357"/>
      <c r="D346" s="1392"/>
      <c r="E346" s="442"/>
      <c r="F346" s="421"/>
      <c r="G346" s="421"/>
      <c r="H346" s="422"/>
      <c r="I346" s="429"/>
      <c r="J346" s="1009"/>
      <c r="K346" s="429"/>
      <c r="L346" s="430"/>
      <c r="M346" s="430"/>
      <c r="N346" s="1411"/>
      <c r="O346" s="1414"/>
      <c r="P346" s="1417"/>
      <c r="Q346" s="424"/>
      <c r="R346" s="419"/>
      <c r="S346" s="419"/>
      <c r="T346" s="419"/>
    </row>
    <row r="347" spans="2:20" ht="19.5" customHeight="1">
      <c r="B347" s="1357"/>
      <c r="C347" s="1357"/>
      <c r="D347" s="1392"/>
      <c r="E347" s="442"/>
      <c r="F347" s="416"/>
      <c r="G347" s="416"/>
      <c r="H347" s="417"/>
      <c r="I347" s="443"/>
      <c r="J347" s="1011"/>
      <c r="K347" s="443"/>
      <c r="L347" s="444"/>
      <c r="M347" s="444"/>
      <c r="N347" s="1774" t="s">
        <v>483</v>
      </c>
      <c r="O347" s="1776">
        <f>MAX(G325,O337,O345)</f>
        <v>0</v>
      </c>
      <c r="P347" s="1769" t="s">
        <v>453</v>
      </c>
      <c r="Q347" s="424"/>
      <c r="R347" s="419"/>
      <c r="S347" s="419"/>
      <c r="T347" s="419"/>
    </row>
    <row r="348" spans="2:20" ht="19.5" customHeight="1">
      <c r="B348" s="1357"/>
      <c r="C348" s="1357"/>
      <c r="D348" s="1392"/>
      <c r="E348" s="442"/>
      <c r="F348" s="416"/>
      <c r="G348" s="416"/>
      <c r="H348" s="417"/>
      <c r="I348" s="443"/>
      <c r="J348" s="1011"/>
      <c r="K348" s="443"/>
      <c r="L348" s="444"/>
      <c r="M348" s="444"/>
      <c r="N348" s="1411"/>
      <c r="O348" s="1414"/>
      <c r="P348" s="1417"/>
      <c r="Q348" s="424"/>
      <c r="R348" s="419"/>
      <c r="S348" s="419"/>
      <c r="T348" s="419"/>
    </row>
    <row r="349" spans="2:20" ht="19.5" customHeight="1">
      <c r="B349" s="1357"/>
      <c r="C349" s="1357"/>
      <c r="D349" s="1392"/>
      <c r="E349" s="442"/>
      <c r="F349" s="416"/>
      <c r="G349" s="416"/>
      <c r="H349" s="417"/>
      <c r="I349" s="443"/>
      <c r="J349" s="1011"/>
      <c r="K349" s="443"/>
      <c r="L349" s="444"/>
      <c r="M349" s="444"/>
      <c r="N349" s="1412"/>
      <c r="O349" s="1415"/>
      <c r="P349" s="1418"/>
      <c r="Q349" s="424"/>
      <c r="R349" s="419"/>
      <c r="S349" s="419"/>
      <c r="T349" s="419"/>
    </row>
    <row r="350" spans="2:20" ht="19.5" customHeight="1">
      <c r="B350" s="1357"/>
      <c r="C350" s="1357"/>
      <c r="D350" s="1392"/>
      <c r="E350" s="442"/>
      <c r="F350" s="416"/>
      <c r="G350" s="416"/>
      <c r="H350" s="417"/>
      <c r="I350" s="443"/>
      <c r="J350" s="1011"/>
      <c r="K350" s="443"/>
      <c r="L350" s="444"/>
      <c r="M350" s="444"/>
      <c r="N350" s="425" t="s">
        <v>485</v>
      </c>
      <c r="O350" s="395">
        <f>O347-O345</f>
        <v>0</v>
      </c>
      <c r="P350" s="407" t="s">
        <v>453</v>
      </c>
      <c r="Q350" s="424"/>
      <c r="R350" s="419"/>
      <c r="S350" s="419"/>
      <c r="T350" s="419"/>
    </row>
    <row r="351" spans="2:20" ht="19.5" customHeight="1">
      <c r="B351" s="1357"/>
      <c r="C351" s="1357"/>
      <c r="D351" s="1392"/>
      <c r="E351" s="442"/>
      <c r="F351" s="416"/>
      <c r="G351" s="416"/>
      <c r="H351" s="417"/>
      <c r="I351" s="443"/>
      <c r="J351" s="1011"/>
      <c r="K351" s="443"/>
      <c r="L351" s="444"/>
      <c r="M351" s="444"/>
      <c r="N351" s="1795" t="s">
        <v>125</v>
      </c>
      <c r="O351" s="1620" t="str">
        <f>IF(O345&gt;G328/L320,"OVER","INSIDE")</f>
        <v>INSIDE</v>
      </c>
      <c r="P351" s="1621"/>
      <c r="Q351" s="424"/>
      <c r="R351" s="419"/>
      <c r="S351" s="419"/>
      <c r="T351" s="419"/>
    </row>
    <row r="352" spans="2:20" ht="19.5" customHeight="1" thickBot="1">
      <c r="B352" s="1357"/>
      <c r="C352" s="1357"/>
      <c r="D352" s="1392"/>
      <c r="E352" s="442"/>
      <c r="F352" s="416"/>
      <c r="G352" s="416"/>
      <c r="H352" s="417"/>
      <c r="I352" s="443"/>
      <c r="J352" s="1011"/>
      <c r="K352" s="443"/>
      <c r="L352" s="444"/>
      <c r="M352" s="444"/>
      <c r="N352" s="1796"/>
      <c r="O352" s="1622"/>
      <c r="P352" s="1623"/>
      <c r="Q352" s="424"/>
      <c r="R352" s="419"/>
      <c r="S352" s="419"/>
      <c r="T352" s="419"/>
    </row>
    <row r="353" spans="2:20" ht="19.5" customHeight="1">
      <c r="B353" s="1357" t="s">
        <v>109</v>
      </c>
      <c r="C353" s="1357" t="s">
        <v>400</v>
      </c>
      <c r="D353" s="1392" t="s">
        <v>337</v>
      </c>
      <c r="E353" s="666"/>
      <c r="F353" s="446" t="s">
        <v>1</v>
      </c>
      <c r="G353" s="1397">
        <f>LEN(LEFT('記入シート'!D208,2))</f>
        <v>0</v>
      </c>
      <c r="H353" s="1398"/>
      <c r="I353" s="440" t="s">
        <v>452</v>
      </c>
      <c r="J353" s="1771" t="s">
        <v>353</v>
      </c>
      <c r="K353" s="1181">
        <f ca="1">CELL("row",'記入シート'!D208)</f>
        <v>208</v>
      </c>
      <c r="L353" s="1784">
        <v>2</v>
      </c>
      <c r="M353" s="1781">
        <f>M320</f>
        <v>132</v>
      </c>
      <c r="N353" s="1762" t="s">
        <v>8</v>
      </c>
      <c r="O353" s="1764">
        <f>IF(G353=0,0,1)</f>
        <v>0</v>
      </c>
      <c r="P353" s="1765" t="s">
        <v>453</v>
      </c>
      <c r="Q353" s="503" t="s">
        <v>6</v>
      </c>
      <c r="R353" s="419"/>
      <c r="S353" s="419"/>
      <c r="T353" s="419"/>
    </row>
    <row r="354" spans="2:20" ht="19.5" customHeight="1">
      <c r="B354" s="1357"/>
      <c r="C354" s="1357"/>
      <c r="D354" s="1392"/>
      <c r="E354" s="667"/>
      <c r="F354" s="420" t="s">
        <v>2</v>
      </c>
      <c r="G354" s="1399">
        <f>$L$58-G353</f>
        <v>2</v>
      </c>
      <c r="H354" s="1400"/>
      <c r="I354" s="398" t="s">
        <v>452</v>
      </c>
      <c r="J354" s="1770"/>
      <c r="K354" s="1182"/>
      <c r="L354" s="1779"/>
      <c r="M354" s="1782"/>
      <c r="N354" s="1763"/>
      <c r="O354" s="1415"/>
      <c r="P354" s="1418"/>
      <c r="Q354" s="986">
        <f>IF(G324=0,"",IF(O353=0,REPT("　",5*O355),CONCATENATE(REPT("　",G354),LEFT('記入シート'!D208,L353),"／",REPT("　",G356),LEFT('記入シート'!G208,L355),REPT("　",5*O355))))</f>
      </c>
      <c r="R354" s="419"/>
      <c r="S354" s="419"/>
      <c r="T354" s="419"/>
    </row>
    <row r="355" spans="2:20" ht="19.5" customHeight="1">
      <c r="B355" s="1357"/>
      <c r="C355" s="1357"/>
      <c r="D355" s="1392"/>
      <c r="E355" s="667"/>
      <c r="F355" s="420" t="s">
        <v>3</v>
      </c>
      <c r="G355" s="1399">
        <f>LEN(LEFT('記入シート'!G208,2))</f>
        <v>0</v>
      </c>
      <c r="H355" s="1400"/>
      <c r="I355" s="398" t="s">
        <v>452</v>
      </c>
      <c r="J355" s="1770" t="s">
        <v>354</v>
      </c>
      <c r="K355" s="1183">
        <f ca="1">CELL("row",'記入シート'!G208)</f>
        <v>208</v>
      </c>
      <c r="L355" s="1779">
        <v>2</v>
      </c>
      <c r="M355" s="1783">
        <f>M320</f>
        <v>132</v>
      </c>
      <c r="N355" s="447" t="s">
        <v>9</v>
      </c>
      <c r="O355" s="448">
        <f>IF(O347=0,0,O347-O353)</f>
        <v>0</v>
      </c>
      <c r="P355" s="423" t="s">
        <v>453</v>
      </c>
      <c r="Q355" s="987"/>
      <c r="R355" s="419"/>
      <c r="S355" s="419"/>
      <c r="T355" s="419"/>
    </row>
    <row r="356" spans="2:20" ht="19.5" customHeight="1">
      <c r="B356" s="1357"/>
      <c r="C356" s="1357"/>
      <c r="D356" s="1392"/>
      <c r="E356" s="414" t="s">
        <v>403</v>
      </c>
      <c r="F356" s="420" t="s">
        <v>461</v>
      </c>
      <c r="G356" s="1399">
        <f>$L$60-G355</f>
        <v>2</v>
      </c>
      <c r="H356" s="1400"/>
      <c r="I356" s="398" t="s">
        <v>452</v>
      </c>
      <c r="J356" s="1770"/>
      <c r="K356" s="1182"/>
      <c r="L356" s="1779"/>
      <c r="M356" s="1783"/>
      <c r="N356" s="394"/>
      <c r="O356" s="395"/>
      <c r="P356" s="396"/>
      <c r="Q356" s="988"/>
      <c r="R356" s="419"/>
      <c r="S356" s="419"/>
      <c r="T356" s="419"/>
    </row>
    <row r="357" spans="2:20" ht="19.5" customHeight="1">
      <c r="B357" s="1357"/>
      <c r="C357" s="1357"/>
      <c r="D357" s="1392"/>
      <c r="E357" s="414" t="s">
        <v>279</v>
      </c>
      <c r="F357" s="420" t="s">
        <v>4</v>
      </c>
      <c r="G357" s="1399">
        <f>LEN(LEFT('記入シート'!N208,2))</f>
        <v>0</v>
      </c>
      <c r="H357" s="1400"/>
      <c r="I357" s="398" t="s">
        <v>452</v>
      </c>
      <c r="J357" s="1770" t="s">
        <v>355</v>
      </c>
      <c r="K357" s="1183">
        <f ca="1">CELL("row",'記入シート'!N208)</f>
        <v>208</v>
      </c>
      <c r="L357" s="1779">
        <v>2</v>
      </c>
      <c r="M357" s="1783">
        <f>M320</f>
        <v>132</v>
      </c>
      <c r="N357" s="1785" t="s">
        <v>178</v>
      </c>
      <c r="O357" s="1776">
        <f>IF(G357=0,0,1)</f>
        <v>0</v>
      </c>
      <c r="P357" s="1769" t="s">
        <v>453</v>
      </c>
      <c r="Q357" s="503" t="s">
        <v>7</v>
      </c>
      <c r="R357" s="419"/>
      <c r="S357" s="419"/>
      <c r="T357" s="419"/>
    </row>
    <row r="358" spans="2:20" ht="19.5" customHeight="1">
      <c r="B358" s="1357"/>
      <c r="C358" s="1357"/>
      <c r="D358" s="1392"/>
      <c r="E358" s="667"/>
      <c r="F358" s="420" t="s">
        <v>5</v>
      </c>
      <c r="G358" s="1399">
        <f>$L$62-G357</f>
        <v>2</v>
      </c>
      <c r="H358" s="1400"/>
      <c r="I358" s="398" t="s">
        <v>452</v>
      </c>
      <c r="J358" s="1770"/>
      <c r="K358" s="1182"/>
      <c r="L358" s="1779"/>
      <c r="M358" s="1783"/>
      <c r="N358" s="1763"/>
      <c r="O358" s="1415"/>
      <c r="P358" s="1418"/>
      <c r="Q358" s="986">
        <f>IF(G324=0,"",IF(O357=0,REPT("　",5*O359),CONCATENATE(REPT("　",G358),LEFT('記入シート'!N208,L357),"／",REPT("　",G360),LEFT('記入シート'!Q208,L359),REPT("　",5*O359))))</f>
      </c>
      <c r="R358" s="419"/>
      <c r="S358" s="419"/>
      <c r="T358" s="419"/>
    </row>
    <row r="359" spans="2:20" ht="19.5" customHeight="1">
      <c r="B359" s="1357"/>
      <c r="C359" s="1357"/>
      <c r="D359" s="1392"/>
      <c r="E359" s="667"/>
      <c r="F359" s="420" t="s">
        <v>462</v>
      </c>
      <c r="G359" s="1399">
        <f>LEN(LEFT('記入シート'!Q208,2))</f>
        <v>0</v>
      </c>
      <c r="H359" s="1400"/>
      <c r="I359" s="398" t="s">
        <v>452</v>
      </c>
      <c r="J359" s="1770" t="s">
        <v>356</v>
      </c>
      <c r="K359" s="1183">
        <f ca="1">CELL("row",'記入シート'!Q208)</f>
        <v>208</v>
      </c>
      <c r="L359" s="1779">
        <v>2</v>
      </c>
      <c r="M359" s="1783">
        <f>M320</f>
        <v>132</v>
      </c>
      <c r="N359" s="447" t="s">
        <v>179</v>
      </c>
      <c r="O359" s="448">
        <f>IF(O347=0,0,O347-O357)</f>
        <v>0</v>
      </c>
      <c r="P359" s="423" t="s">
        <v>453</v>
      </c>
      <c r="Q359" s="987"/>
      <c r="R359" s="419"/>
      <c r="S359" s="419"/>
      <c r="T359" s="419"/>
    </row>
    <row r="360" spans="2:20" ht="19.5" customHeight="1" thickBot="1">
      <c r="B360" s="1357"/>
      <c r="C360" s="1357"/>
      <c r="D360" s="1392"/>
      <c r="E360" s="668"/>
      <c r="F360" s="420" t="s">
        <v>463</v>
      </c>
      <c r="G360" s="1926">
        <f>$L$64-G359</f>
        <v>2</v>
      </c>
      <c r="H360" s="1927"/>
      <c r="I360" s="398" t="s">
        <v>452</v>
      </c>
      <c r="J360" s="1791"/>
      <c r="K360" s="1184"/>
      <c r="L360" s="1780"/>
      <c r="M360" s="1782"/>
      <c r="N360" s="394"/>
      <c r="O360" s="395"/>
      <c r="P360" s="396"/>
      <c r="Q360" s="989"/>
      <c r="R360" s="419"/>
      <c r="S360" s="419"/>
      <c r="T360" s="419"/>
    </row>
    <row r="361" spans="2:20" ht="19.5" customHeight="1">
      <c r="B361" s="1357"/>
      <c r="C361" s="1357"/>
      <c r="D361" s="1392" t="s">
        <v>487</v>
      </c>
      <c r="E361" s="438" t="s">
        <v>404</v>
      </c>
      <c r="F361" s="439" t="s">
        <v>420</v>
      </c>
      <c r="G361" s="1397">
        <f>LEN(LEFT('記入シート'!C211,L361))</f>
        <v>0</v>
      </c>
      <c r="H361" s="1398"/>
      <c r="I361" s="440" t="s">
        <v>452</v>
      </c>
      <c r="J361" s="1424" t="s">
        <v>352</v>
      </c>
      <c r="K361" s="1186">
        <f ca="1">CELL("row",'記入シート'!C211)</f>
        <v>211</v>
      </c>
      <c r="L361" s="1425">
        <f>$L$66</f>
        <v>1</v>
      </c>
      <c r="M361" s="1426">
        <f>M320</f>
        <v>132</v>
      </c>
      <c r="N361" s="1762" t="s">
        <v>10</v>
      </c>
      <c r="O361" s="1764">
        <f>IF(G361=0,0,1)</f>
        <v>0</v>
      </c>
      <c r="P361" s="1765" t="s">
        <v>453</v>
      </c>
      <c r="Q361" s="639">
        <f>IF(G322=0,"",CONCATENATE(LEFT('記入シート'!C211,1),REPT("　",O363)))</f>
      </c>
      <c r="R361" s="419"/>
      <c r="S361" s="419"/>
      <c r="T361" s="419"/>
    </row>
    <row r="362" spans="2:20" ht="19.5" customHeight="1">
      <c r="B362" s="1357"/>
      <c r="C362" s="1357"/>
      <c r="D362" s="1392"/>
      <c r="E362" s="414" t="s">
        <v>279</v>
      </c>
      <c r="F362" s="420" t="s">
        <v>460</v>
      </c>
      <c r="G362" s="1399">
        <f>$L$66-G361</f>
        <v>1</v>
      </c>
      <c r="H362" s="1400"/>
      <c r="I362" s="398" t="s">
        <v>452</v>
      </c>
      <c r="J362" s="1402"/>
      <c r="K362" s="1187"/>
      <c r="L362" s="1405"/>
      <c r="M362" s="1408"/>
      <c r="N362" s="1763"/>
      <c r="O362" s="1415"/>
      <c r="P362" s="1418"/>
      <c r="Q362" s="424"/>
      <c r="R362" s="419"/>
      <c r="S362" s="419"/>
      <c r="T362" s="419"/>
    </row>
    <row r="363" spans="2:20" ht="19.5" customHeight="1" thickBot="1">
      <c r="B363" s="1358"/>
      <c r="C363" s="1358"/>
      <c r="D363" s="1393"/>
      <c r="E363" s="669"/>
      <c r="F363" s="450" t="s">
        <v>158</v>
      </c>
      <c r="G363" s="451" t="s">
        <v>159</v>
      </c>
      <c r="H363" s="458">
        <f>WIDECHAR('記入シート'!C211)</f>
      </c>
      <c r="I363" s="453" t="s">
        <v>160</v>
      </c>
      <c r="J363" s="1792"/>
      <c r="K363" s="1189"/>
      <c r="L363" s="1793"/>
      <c r="M363" s="1794"/>
      <c r="N363" s="459" t="s">
        <v>486</v>
      </c>
      <c r="O363" s="460">
        <f>IF(O347=0,0,O347-O361)</f>
        <v>0</v>
      </c>
      <c r="P363" s="461" t="s">
        <v>453</v>
      </c>
      <c r="Q363" s="424"/>
      <c r="R363" s="419"/>
      <c r="S363" s="419"/>
      <c r="T363" s="419"/>
    </row>
    <row r="364" spans="2:20" ht="19.5" customHeight="1" thickTop="1">
      <c r="B364" s="1390" t="s">
        <v>110</v>
      </c>
      <c r="C364" s="1390" t="s">
        <v>400</v>
      </c>
      <c r="D364" s="1396" t="s">
        <v>473</v>
      </c>
      <c r="E364" s="872" t="s">
        <v>437</v>
      </c>
      <c r="F364" s="873"/>
      <c r="G364" s="1928">
        <f>G320-G327-O320*L320</f>
        <v>2527</v>
      </c>
      <c r="H364" s="1929"/>
      <c r="I364" s="873" t="s">
        <v>452</v>
      </c>
      <c r="J364" s="1401" t="s">
        <v>351</v>
      </c>
      <c r="K364" s="1186">
        <f ca="1">CELL("row",'記入シート'!C216)</f>
        <v>216</v>
      </c>
      <c r="L364" s="1404">
        <f>$L$32</f>
        <v>19</v>
      </c>
      <c r="M364" s="1407">
        <f>G372/L364</f>
        <v>132</v>
      </c>
      <c r="N364" s="1410" t="s">
        <v>481</v>
      </c>
      <c r="O364" s="1413">
        <f>O391-G369</f>
        <v>0</v>
      </c>
      <c r="P364" s="1416" t="s">
        <v>453</v>
      </c>
      <c r="Q364" s="1263">
        <f>IF(G368=0,REPT("　",O364*L364),CONCATENATE("③　",'記入シート'!C216,REPT("　",O364*L364+ABS(G370))))</f>
      </c>
      <c r="R364" s="1264"/>
      <c r="S364" s="1264"/>
      <c r="T364" s="1265"/>
    </row>
    <row r="365" spans="2:20" ht="19.5" customHeight="1">
      <c r="B365" s="1357"/>
      <c r="C365" s="1357"/>
      <c r="D365" s="1392"/>
      <c r="E365" s="855" t="s">
        <v>136</v>
      </c>
      <c r="F365" s="846"/>
      <c r="G365" s="1434">
        <f>IF(G364&gt;2,G364-2,0)</f>
        <v>2525</v>
      </c>
      <c r="H365" s="1435"/>
      <c r="I365" s="846" t="s">
        <v>452</v>
      </c>
      <c r="J365" s="1402"/>
      <c r="K365" s="1187"/>
      <c r="L365" s="1405"/>
      <c r="M365" s="1408"/>
      <c r="N365" s="1411"/>
      <c r="O365" s="1414"/>
      <c r="P365" s="1417"/>
      <c r="Q365" s="1266"/>
      <c r="R365" s="1267"/>
      <c r="S365" s="1267"/>
      <c r="T365" s="1268"/>
    </row>
    <row r="366" spans="2:20" ht="19.5" customHeight="1">
      <c r="B366" s="1357"/>
      <c r="C366" s="1357"/>
      <c r="D366" s="1392"/>
      <c r="E366" s="856" t="s">
        <v>151</v>
      </c>
      <c r="F366" s="843"/>
      <c r="G366" s="1434">
        <f>LEN('記入シート'!C216)</f>
        <v>0</v>
      </c>
      <c r="H366" s="1435"/>
      <c r="I366" s="846" t="s">
        <v>452</v>
      </c>
      <c r="J366" s="1402"/>
      <c r="K366" s="1187"/>
      <c r="L366" s="1405"/>
      <c r="M366" s="1408"/>
      <c r="N366" s="1412"/>
      <c r="O366" s="1415"/>
      <c r="P366" s="1418"/>
      <c r="Q366" s="1266"/>
      <c r="R366" s="1267"/>
      <c r="S366" s="1267"/>
      <c r="T366" s="1268"/>
    </row>
    <row r="367" spans="2:20" ht="19.5" customHeight="1">
      <c r="B367" s="1357"/>
      <c r="C367" s="1357"/>
      <c r="D367" s="1392"/>
      <c r="E367" s="856" t="s">
        <v>167</v>
      </c>
      <c r="F367" s="843"/>
      <c r="G367" s="1755" t="str">
        <f>IF(G366&gt;G365,"OVER","INSIDE")</f>
        <v>INSIDE</v>
      </c>
      <c r="H367" s="1756"/>
      <c r="I367" s="1757"/>
      <c r="J367" s="1402"/>
      <c r="K367" s="1187"/>
      <c r="L367" s="1405"/>
      <c r="M367" s="1408"/>
      <c r="N367" s="410"/>
      <c r="O367" s="395"/>
      <c r="P367" s="396"/>
      <c r="Q367" s="1266"/>
      <c r="R367" s="1267"/>
      <c r="S367" s="1267"/>
      <c r="T367" s="1268"/>
    </row>
    <row r="368" spans="2:20" ht="19.5" customHeight="1">
      <c r="B368" s="1357"/>
      <c r="C368" s="1357"/>
      <c r="D368" s="1392"/>
      <c r="E368" s="408" t="s">
        <v>155</v>
      </c>
      <c r="F368" s="384"/>
      <c r="G368" s="1399">
        <f>IF(G366=0,0,IF(G367="OVER",0,G366+2))</f>
        <v>0</v>
      </c>
      <c r="H368" s="1400"/>
      <c r="I368" s="387" t="s">
        <v>452</v>
      </c>
      <c r="J368" s="1402"/>
      <c r="K368" s="1187"/>
      <c r="L368" s="1405"/>
      <c r="M368" s="1408"/>
      <c r="N368" s="410"/>
      <c r="O368" s="395"/>
      <c r="P368" s="396"/>
      <c r="Q368" s="1266"/>
      <c r="R368" s="1267"/>
      <c r="S368" s="1267"/>
      <c r="T368" s="1268"/>
    </row>
    <row r="369" spans="2:20" ht="19.5" customHeight="1">
      <c r="B369" s="1357"/>
      <c r="C369" s="1357"/>
      <c r="D369" s="1392"/>
      <c r="E369" s="894" t="s">
        <v>451</v>
      </c>
      <c r="F369" s="411"/>
      <c r="G369" s="1399">
        <f>ROUNDUP(G368/L364,0)</f>
        <v>0</v>
      </c>
      <c r="H369" s="1400"/>
      <c r="I369" s="387" t="s">
        <v>453</v>
      </c>
      <c r="J369" s="1402"/>
      <c r="K369" s="1187"/>
      <c r="L369" s="1405"/>
      <c r="M369" s="1408"/>
      <c r="N369" s="410"/>
      <c r="O369" s="395"/>
      <c r="P369" s="396"/>
      <c r="Q369" s="1266"/>
      <c r="R369" s="1267"/>
      <c r="S369" s="1267"/>
      <c r="T369" s="1268"/>
    </row>
    <row r="370" spans="2:20" ht="19.5" customHeight="1">
      <c r="B370" s="1357"/>
      <c r="C370" s="1357"/>
      <c r="D370" s="1392"/>
      <c r="E370" s="894" t="s">
        <v>419</v>
      </c>
      <c r="F370" s="411"/>
      <c r="G370" s="1399">
        <f>G368-G369*L364</f>
        <v>0</v>
      </c>
      <c r="H370" s="1400"/>
      <c r="I370" s="387" t="s">
        <v>452</v>
      </c>
      <c r="J370" s="1402"/>
      <c r="K370" s="1187"/>
      <c r="L370" s="1405"/>
      <c r="M370" s="1408"/>
      <c r="N370" s="410"/>
      <c r="O370" s="395"/>
      <c r="P370" s="396"/>
      <c r="Q370" s="1266"/>
      <c r="R370" s="1267"/>
      <c r="S370" s="1267"/>
      <c r="T370" s="1268"/>
    </row>
    <row r="371" spans="2:20" ht="19.5" customHeight="1" thickBot="1">
      <c r="B371" s="1357"/>
      <c r="C371" s="1357"/>
      <c r="D371" s="1392"/>
      <c r="E371" s="896" t="s">
        <v>423</v>
      </c>
      <c r="F371" s="897"/>
      <c r="G371" s="1926">
        <f>G369*L364</f>
        <v>0</v>
      </c>
      <c r="H371" s="1927"/>
      <c r="I371" s="412" t="s">
        <v>452</v>
      </c>
      <c r="J371" s="1402"/>
      <c r="K371" s="1187"/>
      <c r="L371" s="1405"/>
      <c r="M371" s="1408"/>
      <c r="N371" s="410"/>
      <c r="O371" s="395"/>
      <c r="P371" s="396"/>
      <c r="Q371" s="1266"/>
      <c r="R371" s="1267"/>
      <c r="S371" s="1267"/>
      <c r="T371" s="1268"/>
    </row>
    <row r="372" spans="2:20" ht="19.5" customHeight="1">
      <c r="B372" s="1357" t="s">
        <v>110</v>
      </c>
      <c r="C372" s="1389" t="s">
        <v>332</v>
      </c>
      <c r="D372" s="1391" t="s">
        <v>338</v>
      </c>
      <c r="E372" s="408" t="s">
        <v>437</v>
      </c>
      <c r="F372" s="384"/>
      <c r="G372" s="1419">
        <f>G328-G327-O320*L320</f>
        <v>2508</v>
      </c>
      <c r="H372" s="1420"/>
      <c r="I372" s="384" t="s">
        <v>452</v>
      </c>
      <c r="J372" s="1402"/>
      <c r="K372" s="1187"/>
      <c r="L372" s="1405"/>
      <c r="M372" s="1408"/>
      <c r="N372" s="410"/>
      <c r="O372" s="395"/>
      <c r="P372" s="396"/>
      <c r="Q372" s="1266"/>
      <c r="R372" s="1267"/>
      <c r="S372" s="1267"/>
      <c r="T372" s="1268"/>
    </row>
    <row r="373" spans="2:20" ht="19.5" customHeight="1">
      <c r="B373" s="1357"/>
      <c r="C373" s="1357"/>
      <c r="D373" s="1392"/>
      <c r="E373" s="406" t="s">
        <v>136</v>
      </c>
      <c r="F373" s="387"/>
      <c r="G373" s="1206">
        <f>IF(G372&gt;2,G372-2,0)</f>
        <v>2506</v>
      </c>
      <c r="H373" s="1207"/>
      <c r="I373" s="796" t="s">
        <v>452</v>
      </c>
      <c r="J373" s="1402"/>
      <c r="K373" s="1187"/>
      <c r="L373" s="1405"/>
      <c r="M373" s="1408"/>
      <c r="N373" s="410"/>
      <c r="O373" s="395"/>
      <c r="P373" s="396"/>
      <c r="Q373" s="1266"/>
      <c r="R373" s="1267"/>
      <c r="S373" s="1267"/>
      <c r="T373" s="1268"/>
    </row>
    <row r="374" spans="2:20" ht="19.5" customHeight="1">
      <c r="B374" s="1357"/>
      <c r="C374" s="1357"/>
      <c r="D374" s="1392"/>
      <c r="E374" s="408" t="s">
        <v>151</v>
      </c>
      <c r="F374" s="384"/>
      <c r="G374" s="1399">
        <f>LEN('記入シート'!C216)</f>
        <v>0</v>
      </c>
      <c r="H374" s="1400"/>
      <c r="I374" s="387" t="s">
        <v>452</v>
      </c>
      <c r="J374" s="1402"/>
      <c r="K374" s="1187"/>
      <c r="L374" s="1405"/>
      <c r="M374" s="1408"/>
      <c r="N374" s="410"/>
      <c r="O374" s="395"/>
      <c r="P374" s="396"/>
      <c r="Q374" s="1266"/>
      <c r="R374" s="1267"/>
      <c r="S374" s="1267"/>
      <c r="T374" s="1268"/>
    </row>
    <row r="375" spans="2:20" ht="19.5" customHeight="1" thickBot="1">
      <c r="B375" s="1357"/>
      <c r="C375" s="1395"/>
      <c r="D375" s="1394"/>
      <c r="E375" s="871" t="s">
        <v>167</v>
      </c>
      <c r="F375" s="412"/>
      <c r="G375" s="1421" t="str">
        <f>IF(G374&gt;G373,"OVER","INSIDE")</f>
        <v>INSIDE</v>
      </c>
      <c r="H375" s="1422"/>
      <c r="I375" s="1423"/>
      <c r="J375" s="1403"/>
      <c r="K375" s="1188"/>
      <c r="L375" s="1406"/>
      <c r="M375" s="1409"/>
      <c r="N375" s="413"/>
      <c r="O375" s="403"/>
      <c r="P375" s="404"/>
      <c r="Q375" s="1269"/>
      <c r="R375" s="1270"/>
      <c r="S375" s="1270"/>
      <c r="T375" s="1271"/>
    </row>
    <row r="376" spans="2:20" ht="19.5" customHeight="1">
      <c r="B376" s="1357" t="s">
        <v>110</v>
      </c>
      <c r="C376" s="1389" t="s">
        <v>400</v>
      </c>
      <c r="D376" s="1392" t="s">
        <v>266</v>
      </c>
      <c r="E376" s="667"/>
      <c r="F376" s="415" t="s">
        <v>455</v>
      </c>
      <c r="G376" s="1419">
        <f>LEN(LEFT('記入シート'!C220,L376))</f>
        <v>0</v>
      </c>
      <c r="H376" s="1420"/>
      <c r="I376" s="418" t="s">
        <v>452</v>
      </c>
      <c r="J376" s="1772" t="s">
        <v>352</v>
      </c>
      <c r="K376" s="1186">
        <f ca="1">CELL("row",'記入シート'!C220)</f>
        <v>220</v>
      </c>
      <c r="L376" s="1405">
        <f>$L$40</f>
        <v>6</v>
      </c>
      <c r="M376" s="1797">
        <f>M364</f>
        <v>132</v>
      </c>
      <c r="N376" s="1787" t="s">
        <v>474</v>
      </c>
      <c r="O376" s="1414">
        <f>SUM(G376:H383)</f>
        <v>0</v>
      </c>
      <c r="P376" s="1798" t="s">
        <v>452</v>
      </c>
      <c r="Q376" s="1554">
        <f>IF(O381=0,REPT("　",O391*L376),CONCATENATE(LEFT('記入シート'!C220,L376),REPT("　",G377),LEFT('記入シート'!C221,L376),REPT("　",G379),LEFT('記入シート'!C222,L376),REPT("　",G381),LEFT('記入シート'!C223,L376),REPT("　",G383),REPT("　",L376*O383)))</f>
      </c>
      <c r="R376" s="313"/>
      <c r="S376" s="313"/>
      <c r="T376" s="313"/>
    </row>
    <row r="377" spans="2:20" ht="19.5" customHeight="1">
      <c r="B377" s="1357"/>
      <c r="C377" s="1357"/>
      <c r="D377" s="1392"/>
      <c r="E377" s="667"/>
      <c r="F377" s="420" t="s">
        <v>458</v>
      </c>
      <c r="G377" s="1399">
        <f>IF(G376=0,0,$L$40-G376)</f>
        <v>0</v>
      </c>
      <c r="H377" s="1400"/>
      <c r="I377" s="398" t="s">
        <v>452</v>
      </c>
      <c r="J377" s="1770"/>
      <c r="K377" s="1187"/>
      <c r="L377" s="1405"/>
      <c r="M377" s="1797"/>
      <c r="N377" s="1787"/>
      <c r="O377" s="1414"/>
      <c r="P377" s="1798"/>
      <c r="Q377" s="1554"/>
      <c r="R377" s="313"/>
      <c r="S377" s="313"/>
      <c r="T377" s="313"/>
    </row>
    <row r="378" spans="2:20" ht="19.5" customHeight="1">
      <c r="B378" s="1357"/>
      <c r="C378" s="1357"/>
      <c r="D378" s="1392"/>
      <c r="E378" s="667"/>
      <c r="F378" s="420" t="s">
        <v>456</v>
      </c>
      <c r="G378" s="1399">
        <f>LEN(LEFT('記入シート'!C221,L376))</f>
        <v>0</v>
      </c>
      <c r="H378" s="1400"/>
      <c r="I378" s="398" t="s">
        <v>452</v>
      </c>
      <c r="J378" s="1770" t="s">
        <v>352</v>
      </c>
      <c r="K378" s="1185">
        <f ca="1">CELL("row",'記入シート'!C221)</f>
        <v>221</v>
      </c>
      <c r="L378" s="1405"/>
      <c r="M378" s="1797"/>
      <c r="N378" s="1787"/>
      <c r="O378" s="1414"/>
      <c r="P378" s="1798"/>
      <c r="Q378" s="1554"/>
      <c r="R378" s="313"/>
      <c r="S378" s="313"/>
      <c r="T378" s="313"/>
    </row>
    <row r="379" spans="2:20" ht="19.5" customHeight="1">
      <c r="B379" s="1357"/>
      <c r="C379" s="1357"/>
      <c r="D379" s="1392"/>
      <c r="E379" s="414" t="s">
        <v>401</v>
      </c>
      <c r="F379" s="420" t="s">
        <v>459</v>
      </c>
      <c r="G379" s="1399">
        <f>IF(G378=0,0,$L$40-G378)</f>
        <v>0</v>
      </c>
      <c r="H379" s="1400"/>
      <c r="I379" s="398" t="s">
        <v>452</v>
      </c>
      <c r="J379" s="1770"/>
      <c r="K379" s="1185"/>
      <c r="L379" s="1405"/>
      <c r="M379" s="1797"/>
      <c r="N379" s="1787"/>
      <c r="O379" s="1414"/>
      <c r="P379" s="1798"/>
      <c r="Q379" s="1549"/>
      <c r="R379" s="313"/>
      <c r="S379" s="313"/>
      <c r="T379" s="313"/>
    </row>
    <row r="380" spans="2:20" ht="19.5" customHeight="1">
      <c r="B380" s="1357"/>
      <c r="C380" s="1357"/>
      <c r="D380" s="1392"/>
      <c r="E380" s="414" t="s">
        <v>280</v>
      </c>
      <c r="F380" s="411" t="s">
        <v>475</v>
      </c>
      <c r="G380" s="1399">
        <f>LEN(LEFT('記入シート'!C222,L376))</f>
        <v>0</v>
      </c>
      <c r="H380" s="1400"/>
      <c r="I380" s="398" t="s">
        <v>452</v>
      </c>
      <c r="J380" s="1790" t="s">
        <v>352</v>
      </c>
      <c r="K380" s="1185">
        <f ca="1">CELL("row",'記入シート'!C222)</f>
        <v>222</v>
      </c>
      <c r="L380" s="1405"/>
      <c r="M380" s="1797"/>
      <c r="N380" s="1788"/>
      <c r="O380" s="1415"/>
      <c r="P380" s="1799"/>
      <c r="Q380" s="320"/>
      <c r="R380" s="313"/>
      <c r="S380" s="313"/>
      <c r="T380" s="313"/>
    </row>
    <row r="381" spans="2:20" ht="19.5" customHeight="1">
      <c r="B381" s="1357"/>
      <c r="C381" s="1357"/>
      <c r="D381" s="1392"/>
      <c r="E381" s="667"/>
      <c r="F381" s="411" t="s">
        <v>476</v>
      </c>
      <c r="G381" s="1399">
        <f>IF(G380=0,0,$L$40-G380)</f>
        <v>0</v>
      </c>
      <c r="H381" s="1400"/>
      <c r="I381" s="398" t="s">
        <v>452</v>
      </c>
      <c r="J381" s="1772"/>
      <c r="K381" s="1185"/>
      <c r="L381" s="1405"/>
      <c r="M381" s="1797"/>
      <c r="N381" s="1774" t="s">
        <v>480</v>
      </c>
      <c r="O381" s="1776">
        <f>O376/$L$40</f>
        <v>0</v>
      </c>
      <c r="P381" s="1769" t="s">
        <v>453</v>
      </c>
      <c r="Q381" s="320"/>
      <c r="R381" s="313"/>
      <c r="S381" s="313"/>
      <c r="T381" s="313"/>
    </row>
    <row r="382" spans="2:20" ht="19.5" customHeight="1">
      <c r="B382" s="1357"/>
      <c r="C382" s="1357"/>
      <c r="D382" s="1392"/>
      <c r="E382" s="667"/>
      <c r="F382" s="411" t="s">
        <v>477</v>
      </c>
      <c r="G382" s="1399">
        <f>LEN(LEFT('記入シート'!C223,L376))</f>
        <v>0</v>
      </c>
      <c r="H382" s="1400"/>
      <c r="I382" s="398" t="s">
        <v>452</v>
      </c>
      <c r="J382" s="1790" t="s">
        <v>352</v>
      </c>
      <c r="K382" s="1185">
        <f ca="1">CELL("row",'記入シート'!C223)</f>
        <v>223</v>
      </c>
      <c r="L382" s="1405"/>
      <c r="M382" s="1797"/>
      <c r="N382" s="1412"/>
      <c r="O382" s="1415"/>
      <c r="P382" s="1418"/>
      <c r="Q382" s="995"/>
      <c r="R382" s="313"/>
      <c r="S382" s="313"/>
      <c r="T382" s="313"/>
    </row>
    <row r="383" spans="2:20" ht="19.5" customHeight="1">
      <c r="B383" s="1357"/>
      <c r="C383" s="1357"/>
      <c r="D383" s="1392"/>
      <c r="E383" s="667"/>
      <c r="F383" s="420" t="s">
        <v>478</v>
      </c>
      <c r="G383" s="1399">
        <f>IF(G382=0,0,$L$40-G382)</f>
        <v>0</v>
      </c>
      <c r="H383" s="1400"/>
      <c r="I383" s="398" t="s">
        <v>452</v>
      </c>
      <c r="J383" s="1402"/>
      <c r="K383" s="1185"/>
      <c r="L383" s="1405"/>
      <c r="M383" s="1797"/>
      <c r="N383" s="456" t="s">
        <v>482</v>
      </c>
      <c r="O383" s="457">
        <f>O391-O381</f>
        <v>0</v>
      </c>
      <c r="P383" s="426" t="s">
        <v>453</v>
      </c>
      <c r="Q383" s="995"/>
      <c r="R383" s="313"/>
      <c r="S383" s="313"/>
      <c r="T383" s="313"/>
    </row>
    <row r="384" spans="2:20" ht="19.5" customHeight="1">
      <c r="B384" s="1357"/>
      <c r="C384" s="1357"/>
      <c r="D384" s="1392"/>
      <c r="E384" s="442"/>
      <c r="F384" s="421"/>
      <c r="G384" s="421"/>
      <c r="H384" s="422"/>
      <c r="I384" s="429"/>
      <c r="J384" s="1009"/>
      <c r="K384" s="1022"/>
      <c r="L384" s="430"/>
      <c r="M384" s="431"/>
      <c r="N384" s="1795" t="s">
        <v>124</v>
      </c>
      <c r="O384" s="1620" t="str">
        <f>IF(O381&gt;G372/L364,"OVER","INSIDE")</f>
        <v>INSIDE</v>
      </c>
      <c r="P384" s="1621"/>
      <c r="Q384" s="424"/>
      <c r="R384" s="419"/>
      <c r="S384" s="419"/>
      <c r="T384" s="419"/>
    </row>
    <row r="385" spans="2:20" ht="19.5" customHeight="1" thickBot="1">
      <c r="B385" s="1357"/>
      <c r="C385" s="1357"/>
      <c r="D385" s="1392"/>
      <c r="E385" s="432"/>
      <c r="F385" s="433"/>
      <c r="G385" s="433"/>
      <c r="H385" s="434"/>
      <c r="I385" s="435"/>
      <c r="J385" s="1010"/>
      <c r="K385" s="1023"/>
      <c r="L385" s="436"/>
      <c r="M385" s="437"/>
      <c r="N385" s="1796"/>
      <c r="O385" s="1622"/>
      <c r="P385" s="1623"/>
      <c r="Q385" s="424"/>
      <c r="R385" s="419"/>
      <c r="S385" s="419"/>
      <c r="T385" s="419"/>
    </row>
    <row r="386" spans="2:20" ht="19.5" customHeight="1">
      <c r="B386" s="1357" t="s">
        <v>110</v>
      </c>
      <c r="C386" s="1357" t="s">
        <v>400</v>
      </c>
      <c r="D386" s="1392" t="s">
        <v>266</v>
      </c>
      <c r="E386" s="666"/>
      <c r="F386" s="439" t="s">
        <v>455</v>
      </c>
      <c r="G386" s="1397">
        <f>LEN(LEFT('記入シート'!C226,L386))</f>
        <v>0</v>
      </c>
      <c r="H386" s="1398"/>
      <c r="I386" s="440" t="s">
        <v>452</v>
      </c>
      <c r="J386" s="1771" t="s">
        <v>352</v>
      </c>
      <c r="K386" s="1186">
        <f ca="1">CELL("Row",'記入シート'!C226)</f>
        <v>226</v>
      </c>
      <c r="L386" s="1425">
        <f>$L$49</f>
        <v>6</v>
      </c>
      <c r="M386" s="1781">
        <f>M364</f>
        <v>132</v>
      </c>
      <c r="N386" s="1786" t="s">
        <v>484</v>
      </c>
      <c r="O386" s="1764">
        <f>SUM(G386:H389)</f>
        <v>0</v>
      </c>
      <c r="P386" s="1765" t="s">
        <v>452</v>
      </c>
      <c r="Q386" s="1548">
        <f>IF(O389=0,REPT("　",O391*L386),CONCATENATE(LEFT('記入シート'!C226,L386),REPT("　",G387),LEFT('記入シート'!C227,L386),REPT("　",G389),REPT("　",L386*O394)))</f>
      </c>
      <c r="R386" s="419"/>
      <c r="S386" s="419"/>
      <c r="T386" s="419"/>
    </row>
    <row r="387" spans="2:20" ht="19.5" customHeight="1">
      <c r="B387" s="1357"/>
      <c r="C387" s="1357"/>
      <c r="D387" s="1392"/>
      <c r="E387" s="414" t="s">
        <v>402</v>
      </c>
      <c r="F387" s="420" t="s">
        <v>458</v>
      </c>
      <c r="G387" s="1399">
        <f>IF(G386=0,0,$L$49-G386)</f>
        <v>0</v>
      </c>
      <c r="H387" s="1400"/>
      <c r="I387" s="398" t="s">
        <v>452</v>
      </c>
      <c r="J387" s="1770"/>
      <c r="K387" s="1187"/>
      <c r="L387" s="1405"/>
      <c r="M387" s="1783"/>
      <c r="N387" s="1787"/>
      <c r="O387" s="1414"/>
      <c r="P387" s="1417"/>
      <c r="Q387" s="1549"/>
      <c r="R387" s="419"/>
      <c r="S387" s="419"/>
      <c r="T387" s="419"/>
    </row>
    <row r="388" spans="2:20" ht="19.5" customHeight="1">
      <c r="B388" s="1357"/>
      <c r="C388" s="1357"/>
      <c r="D388" s="1392"/>
      <c r="E388" s="414" t="s">
        <v>280</v>
      </c>
      <c r="F388" s="420" t="s">
        <v>456</v>
      </c>
      <c r="G388" s="1399">
        <f>LEN(LEFT('記入シート'!C227,L386))</f>
        <v>0</v>
      </c>
      <c r="H388" s="1400"/>
      <c r="I388" s="398" t="s">
        <v>452</v>
      </c>
      <c r="J388" s="1790" t="s">
        <v>352</v>
      </c>
      <c r="K388" s="1183">
        <f ca="1">CELL("row",'記入シート'!C227)</f>
        <v>227</v>
      </c>
      <c r="L388" s="1405"/>
      <c r="M388" s="1783"/>
      <c r="N388" s="1788"/>
      <c r="O388" s="1415"/>
      <c r="P388" s="1418"/>
      <c r="Q388" s="424"/>
      <c r="R388" s="419"/>
      <c r="S388" s="419"/>
      <c r="T388" s="419"/>
    </row>
    <row r="389" spans="2:20" ht="19.5" customHeight="1">
      <c r="B389" s="1357"/>
      <c r="C389" s="1357"/>
      <c r="D389" s="1392"/>
      <c r="E389" s="667"/>
      <c r="F389" s="411" t="s">
        <v>459</v>
      </c>
      <c r="G389" s="1399">
        <f>IF(G388=0,0,$L$49-G388)</f>
        <v>0</v>
      </c>
      <c r="H389" s="1400"/>
      <c r="I389" s="387" t="s">
        <v>452</v>
      </c>
      <c r="J389" s="1772"/>
      <c r="K389" s="1182"/>
      <c r="L389" s="1773"/>
      <c r="M389" s="1783"/>
      <c r="N389" s="1774" t="s">
        <v>479</v>
      </c>
      <c r="O389" s="1776">
        <f>O386/$L$49</f>
        <v>0</v>
      </c>
      <c r="P389" s="1769" t="s">
        <v>453</v>
      </c>
      <c r="Q389" s="424"/>
      <c r="R389" s="419"/>
      <c r="S389" s="419"/>
      <c r="T389" s="419"/>
    </row>
    <row r="390" spans="2:20" ht="19.5" customHeight="1">
      <c r="B390" s="1357"/>
      <c r="C390" s="1357"/>
      <c r="D390" s="1392"/>
      <c r="E390" s="442"/>
      <c r="F390" s="421"/>
      <c r="G390" s="421"/>
      <c r="H390" s="422"/>
      <c r="I390" s="429"/>
      <c r="J390" s="1009"/>
      <c r="K390" s="429"/>
      <c r="L390" s="430"/>
      <c r="M390" s="430"/>
      <c r="N390" s="1411"/>
      <c r="O390" s="1414"/>
      <c r="P390" s="1417"/>
      <c r="Q390" s="424"/>
      <c r="R390" s="419"/>
      <c r="S390" s="419"/>
      <c r="T390" s="419"/>
    </row>
    <row r="391" spans="2:20" ht="19.5" customHeight="1">
      <c r="B391" s="1357"/>
      <c r="C391" s="1357"/>
      <c r="D391" s="1392"/>
      <c r="E391" s="442"/>
      <c r="F391" s="416"/>
      <c r="G391" s="416"/>
      <c r="H391" s="417"/>
      <c r="I391" s="443"/>
      <c r="J391" s="1011"/>
      <c r="K391" s="443"/>
      <c r="L391" s="444"/>
      <c r="M391" s="444"/>
      <c r="N391" s="1774" t="s">
        <v>483</v>
      </c>
      <c r="O391" s="1776">
        <f>MAX(G369,O381,O389)</f>
        <v>0</v>
      </c>
      <c r="P391" s="1769" t="s">
        <v>453</v>
      </c>
      <c r="Q391" s="424"/>
      <c r="R391" s="419"/>
      <c r="S391" s="419"/>
      <c r="T391" s="419"/>
    </row>
    <row r="392" spans="2:20" ht="19.5" customHeight="1">
      <c r="B392" s="1357"/>
      <c r="C392" s="1357"/>
      <c r="D392" s="1392"/>
      <c r="E392" s="442"/>
      <c r="F392" s="416"/>
      <c r="G392" s="416"/>
      <c r="H392" s="417"/>
      <c r="I392" s="443"/>
      <c r="J392" s="1011"/>
      <c r="K392" s="443"/>
      <c r="L392" s="444"/>
      <c r="M392" s="444"/>
      <c r="N392" s="1411"/>
      <c r="O392" s="1414"/>
      <c r="P392" s="1417"/>
      <c r="Q392" s="424"/>
      <c r="R392" s="419"/>
      <c r="S392" s="419"/>
      <c r="T392" s="419"/>
    </row>
    <row r="393" spans="2:20" ht="19.5" customHeight="1">
      <c r="B393" s="1357"/>
      <c r="C393" s="1357"/>
      <c r="D393" s="1392"/>
      <c r="E393" s="442"/>
      <c r="F393" s="416"/>
      <c r="G393" s="416"/>
      <c r="H393" s="417"/>
      <c r="I393" s="443"/>
      <c r="J393" s="1011"/>
      <c r="K393" s="443"/>
      <c r="L393" s="444"/>
      <c r="M393" s="444"/>
      <c r="N393" s="1412"/>
      <c r="O393" s="1415"/>
      <c r="P393" s="1418"/>
      <c r="Q393" s="424"/>
      <c r="R393" s="419"/>
      <c r="S393" s="419"/>
      <c r="T393" s="419"/>
    </row>
    <row r="394" spans="2:20" ht="19.5" customHeight="1">
      <c r="B394" s="1357"/>
      <c r="C394" s="1357"/>
      <c r="D394" s="1392"/>
      <c r="E394" s="442"/>
      <c r="F394" s="416"/>
      <c r="G394" s="416"/>
      <c r="H394" s="417"/>
      <c r="I394" s="443"/>
      <c r="J394" s="1011"/>
      <c r="K394" s="443"/>
      <c r="L394" s="444"/>
      <c r="M394" s="444"/>
      <c r="N394" s="425" t="s">
        <v>485</v>
      </c>
      <c r="O394" s="395">
        <f>O391-O389</f>
        <v>0</v>
      </c>
      <c r="P394" s="407" t="s">
        <v>453</v>
      </c>
      <c r="Q394" s="424"/>
      <c r="R394" s="419"/>
      <c r="S394" s="419"/>
      <c r="T394" s="419"/>
    </row>
    <row r="395" spans="2:20" ht="19.5" customHeight="1">
      <c r="B395" s="1357"/>
      <c r="C395" s="1357"/>
      <c r="D395" s="1392"/>
      <c r="E395" s="442"/>
      <c r="F395" s="416"/>
      <c r="G395" s="416"/>
      <c r="H395" s="417"/>
      <c r="I395" s="443"/>
      <c r="J395" s="1011"/>
      <c r="K395" s="443"/>
      <c r="L395" s="444"/>
      <c r="M395" s="444"/>
      <c r="N395" s="1795" t="s">
        <v>125</v>
      </c>
      <c r="O395" s="1620" t="str">
        <f>IF(O389&gt;G372/L364,"OVER","INSIDE")</f>
        <v>INSIDE</v>
      </c>
      <c r="P395" s="1621"/>
      <c r="Q395" s="424"/>
      <c r="R395" s="419"/>
      <c r="S395" s="419"/>
      <c r="T395" s="419"/>
    </row>
    <row r="396" spans="2:20" ht="19.5" customHeight="1" thickBot="1">
      <c r="B396" s="1357"/>
      <c r="C396" s="1357"/>
      <c r="D396" s="1392"/>
      <c r="E396" s="442"/>
      <c r="F396" s="416"/>
      <c r="G396" s="416"/>
      <c r="H396" s="417"/>
      <c r="I396" s="443"/>
      <c r="J396" s="1011"/>
      <c r="K396" s="443"/>
      <c r="L396" s="444"/>
      <c r="M396" s="444"/>
      <c r="N396" s="1796"/>
      <c r="O396" s="1622"/>
      <c r="P396" s="1623"/>
      <c r="Q396" s="424"/>
      <c r="R396" s="419"/>
      <c r="S396" s="419"/>
      <c r="T396" s="419"/>
    </row>
    <row r="397" spans="2:20" ht="19.5" customHeight="1">
      <c r="B397" s="1357" t="s">
        <v>110</v>
      </c>
      <c r="C397" s="1357" t="s">
        <v>400</v>
      </c>
      <c r="D397" s="1392" t="s">
        <v>266</v>
      </c>
      <c r="E397" s="666"/>
      <c r="F397" s="446" t="s">
        <v>1</v>
      </c>
      <c r="G397" s="1397">
        <f>LEN(LEFT('記入シート'!D230,2))</f>
        <v>0</v>
      </c>
      <c r="H397" s="1398"/>
      <c r="I397" s="440" t="s">
        <v>452</v>
      </c>
      <c r="J397" s="1771" t="s">
        <v>353</v>
      </c>
      <c r="K397" s="1181">
        <f ca="1">CELL("row",'記入シート'!D230)</f>
        <v>230</v>
      </c>
      <c r="L397" s="1784">
        <v>2</v>
      </c>
      <c r="M397" s="1781">
        <f>M364</f>
        <v>132</v>
      </c>
      <c r="N397" s="1762" t="s">
        <v>8</v>
      </c>
      <c r="O397" s="1764">
        <f>IF(G397=0,0,1)</f>
        <v>0</v>
      </c>
      <c r="P397" s="1765" t="s">
        <v>453</v>
      </c>
      <c r="Q397" s="503" t="s">
        <v>6</v>
      </c>
      <c r="R397" s="419"/>
      <c r="S397" s="419"/>
      <c r="T397" s="419"/>
    </row>
    <row r="398" spans="2:20" ht="19.5" customHeight="1">
      <c r="B398" s="1357"/>
      <c r="C398" s="1357"/>
      <c r="D398" s="1392"/>
      <c r="E398" s="667"/>
      <c r="F398" s="420" t="s">
        <v>2</v>
      </c>
      <c r="G398" s="1399">
        <f>$L$58-G397</f>
        <v>2</v>
      </c>
      <c r="H398" s="1400"/>
      <c r="I398" s="398" t="s">
        <v>452</v>
      </c>
      <c r="J398" s="1770"/>
      <c r="K398" s="1182"/>
      <c r="L398" s="1779"/>
      <c r="M398" s="1782"/>
      <c r="N398" s="1763"/>
      <c r="O398" s="1415"/>
      <c r="P398" s="1418"/>
      <c r="Q398" s="986">
        <f>IF(G368=0,"",IF(O397=0,REPT("　",5*O399),CONCATENATE(REPT("　",G398),LEFT('記入シート'!D230,L397),"／",REPT("　",G400),LEFT('記入シート'!G230,L399),REPT("　",5*O399))))</f>
      </c>
      <c r="R398" s="419"/>
      <c r="S398" s="419"/>
      <c r="T398" s="419"/>
    </row>
    <row r="399" spans="2:20" ht="19.5" customHeight="1">
      <c r="B399" s="1357"/>
      <c r="C399" s="1357"/>
      <c r="D399" s="1392"/>
      <c r="E399" s="667"/>
      <c r="F399" s="420" t="s">
        <v>3</v>
      </c>
      <c r="G399" s="1399">
        <f>LEN(LEFT('記入シート'!G230,2))</f>
        <v>0</v>
      </c>
      <c r="H399" s="1400"/>
      <c r="I399" s="398" t="s">
        <v>452</v>
      </c>
      <c r="J399" s="1770" t="s">
        <v>354</v>
      </c>
      <c r="K399" s="1183">
        <f ca="1">CELL("row",'記入シート'!G230)</f>
        <v>230</v>
      </c>
      <c r="L399" s="1779">
        <v>2</v>
      </c>
      <c r="M399" s="1783">
        <f>M364</f>
        <v>132</v>
      </c>
      <c r="N399" s="447" t="s">
        <v>9</v>
      </c>
      <c r="O399" s="448">
        <f>IF(O391=0,0,O391-O397)</f>
        <v>0</v>
      </c>
      <c r="P399" s="423" t="s">
        <v>453</v>
      </c>
      <c r="Q399" s="987"/>
      <c r="R399" s="419"/>
      <c r="S399" s="419"/>
      <c r="T399" s="419"/>
    </row>
    <row r="400" spans="2:20" ht="19.5" customHeight="1">
      <c r="B400" s="1357"/>
      <c r="C400" s="1357"/>
      <c r="D400" s="1392"/>
      <c r="E400" s="414" t="s">
        <v>403</v>
      </c>
      <c r="F400" s="420" t="s">
        <v>461</v>
      </c>
      <c r="G400" s="1399">
        <f>$L$60-G399</f>
        <v>2</v>
      </c>
      <c r="H400" s="1400"/>
      <c r="I400" s="398" t="s">
        <v>452</v>
      </c>
      <c r="J400" s="1770"/>
      <c r="K400" s="1182"/>
      <c r="L400" s="1779"/>
      <c r="M400" s="1783"/>
      <c r="N400" s="394"/>
      <c r="O400" s="395"/>
      <c r="P400" s="396"/>
      <c r="Q400" s="988"/>
      <c r="R400" s="419"/>
      <c r="S400" s="419"/>
      <c r="T400" s="419"/>
    </row>
    <row r="401" spans="2:20" ht="19.5" customHeight="1">
      <c r="B401" s="1357"/>
      <c r="C401" s="1357"/>
      <c r="D401" s="1392"/>
      <c r="E401" s="414" t="s">
        <v>280</v>
      </c>
      <c r="F401" s="420" t="s">
        <v>4</v>
      </c>
      <c r="G401" s="1399">
        <f>LEN(LEFT('記入シート'!N230,2))</f>
        <v>0</v>
      </c>
      <c r="H401" s="1400"/>
      <c r="I401" s="398" t="s">
        <v>452</v>
      </c>
      <c r="J401" s="1770" t="s">
        <v>355</v>
      </c>
      <c r="K401" s="1183">
        <f ca="1">CELL("row",'記入シート'!N230)</f>
        <v>230</v>
      </c>
      <c r="L401" s="1779">
        <v>2</v>
      </c>
      <c r="M401" s="1783">
        <f>M364</f>
        <v>132</v>
      </c>
      <c r="N401" s="1785" t="s">
        <v>178</v>
      </c>
      <c r="O401" s="1776">
        <f>IF(G401=0,0,1)</f>
        <v>0</v>
      </c>
      <c r="P401" s="1769" t="s">
        <v>453</v>
      </c>
      <c r="Q401" s="503" t="s">
        <v>7</v>
      </c>
      <c r="R401" s="419"/>
      <c r="S401" s="419"/>
      <c r="T401" s="419"/>
    </row>
    <row r="402" spans="2:20" ht="19.5" customHeight="1">
      <c r="B402" s="1357"/>
      <c r="C402" s="1357"/>
      <c r="D402" s="1392"/>
      <c r="E402" s="667"/>
      <c r="F402" s="420" t="s">
        <v>5</v>
      </c>
      <c r="G402" s="1399">
        <f>$L$62-G401</f>
        <v>2</v>
      </c>
      <c r="H402" s="1400"/>
      <c r="I402" s="398" t="s">
        <v>452</v>
      </c>
      <c r="J402" s="1770"/>
      <c r="K402" s="1182"/>
      <c r="L402" s="1779"/>
      <c r="M402" s="1783"/>
      <c r="N402" s="1763"/>
      <c r="O402" s="1415"/>
      <c r="P402" s="1418"/>
      <c r="Q402" s="986">
        <f>IF(G368=0,"",IF(O401=0,REPT("　",5*O403),CONCATENATE(REPT("　",G402),LEFT('記入シート'!N230,L401),"／",REPT("　",G404),LEFT('記入シート'!Q230,L403),REPT("　",5*O403))))</f>
      </c>
      <c r="R402" s="419"/>
      <c r="S402" s="419"/>
      <c r="T402" s="419"/>
    </row>
    <row r="403" spans="2:20" ht="19.5" customHeight="1">
      <c r="B403" s="1357"/>
      <c r="C403" s="1357"/>
      <c r="D403" s="1392"/>
      <c r="E403" s="667"/>
      <c r="F403" s="420" t="s">
        <v>462</v>
      </c>
      <c r="G403" s="1399">
        <f>LEN(LEFT('記入シート'!Q230,2))</f>
        <v>0</v>
      </c>
      <c r="H403" s="1400"/>
      <c r="I403" s="398" t="s">
        <v>452</v>
      </c>
      <c r="J403" s="1770" t="s">
        <v>356</v>
      </c>
      <c r="K403" s="1183">
        <f ca="1">CELL("row",'記入シート'!Q230)</f>
        <v>230</v>
      </c>
      <c r="L403" s="1779">
        <v>2</v>
      </c>
      <c r="M403" s="1783">
        <f>M364</f>
        <v>132</v>
      </c>
      <c r="N403" s="447" t="s">
        <v>179</v>
      </c>
      <c r="O403" s="448">
        <f>IF(O391=0,0,O391-O401)</f>
        <v>0</v>
      </c>
      <c r="P403" s="423" t="s">
        <v>453</v>
      </c>
      <c r="Q403" s="987"/>
      <c r="R403" s="419"/>
      <c r="S403" s="419"/>
      <c r="T403" s="419"/>
    </row>
    <row r="404" spans="2:20" ht="19.5" customHeight="1" thickBot="1">
      <c r="B404" s="1357"/>
      <c r="C404" s="1357"/>
      <c r="D404" s="1392"/>
      <c r="E404" s="668"/>
      <c r="F404" s="420" t="s">
        <v>463</v>
      </c>
      <c r="G404" s="1926">
        <f>$L$64-G403</f>
        <v>2</v>
      </c>
      <c r="H404" s="1927"/>
      <c r="I404" s="398" t="s">
        <v>452</v>
      </c>
      <c r="J404" s="1791"/>
      <c r="K404" s="1184"/>
      <c r="L404" s="1780"/>
      <c r="M404" s="1782"/>
      <c r="N404" s="394"/>
      <c r="O404" s="395"/>
      <c r="P404" s="396"/>
      <c r="Q404" s="989"/>
      <c r="R404" s="419"/>
      <c r="S404" s="419"/>
      <c r="T404" s="419"/>
    </row>
    <row r="405" spans="2:20" ht="19.5" customHeight="1">
      <c r="B405" s="1357"/>
      <c r="C405" s="1357"/>
      <c r="D405" s="1392" t="s">
        <v>266</v>
      </c>
      <c r="E405" s="438" t="s">
        <v>404</v>
      </c>
      <c r="F405" s="439" t="s">
        <v>420</v>
      </c>
      <c r="G405" s="1397">
        <f>LEN(LEFT('記入シート'!C233,L405))</f>
        <v>0</v>
      </c>
      <c r="H405" s="1398"/>
      <c r="I405" s="440" t="s">
        <v>452</v>
      </c>
      <c r="J405" s="1424" t="s">
        <v>352</v>
      </c>
      <c r="K405" s="1186">
        <f ca="1">CELL("row",'記入シート'!C233)</f>
        <v>233</v>
      </c>
      <c r="L405" s="1425">
        <f>$L$66</f>
        <v>1</v>
      </c>
      <c r="M405" s="1426">
        <f>M364</f>
        <v>132</v>
      </c>
      <c r="N405" s="1762" t="s">
        <v>10</v>
      </c>
      <c r="O405" s="1764">
        <f>IF(G405=0,0,1)</f>
        <v>0</v>
      </c>
      <c r="P405" s="1765" t="s">
        <v>453</v>
      </c>
      <c r="Q405" s="639">
        <f>IF(G366=0,"",CONCATENATE(LEFT('記入シート'!C233,1),REPT("　",O407)))</f>
      </c>
      <c r="R405" s="419"/>
      <c r="S405" s="419"/>
      <c r="T405" s="419"/>
    </row>
    <row r="406" spans="2:20" ht="19.5" customHeight="1">
      <c r="B406" s="1357"/>
      <c r="C406" s="1357"/>
      <c r="D406" s="1392"/>
      <c r="E406" s="414" t="s">
        <v>280</v>
      </c>
      <c r="F406" s="420" t="s">
        <v>460</v>
      </c>
      <c r="G406" s="1399">
        <f>$L$66-G405</f>
        <v>1</v>
      </c>
      <c r="H406" s="1400"/>
      <c r="I406" s="398" t="s">
        <v>452</v>
      </c>
      <c r="J406" s="1402"/>
      <c r="K406" s="1187"/>
      <c r="L406" s="1405"/>
      <c r="M406" s="1408"/>
      <c r="N406" s="1763"/>
      <c r="O406" s="1415"/>
      <c r="P406" s="1418"/>
      <c r="Q406" s="424"/>
      <c r="R406" s="419"/>
      <c r="S406" s="419"/>
      <c r="T406" s="419"/>
    </row>
    <row r="407" spans="2:20" ht="19.5" customHeight="1" thickBot="1">
      <c r="B407" s="1358"/>
      <c r="C407" s="1358"/>
      <c r="D407" s="1393"/>
      <c r="E407" s="669"/>
      <c r="F407" s="450" t="s">
        <v>158</v>
      </c>
      <c r="G407" s="451" t="s">
        <v>159</v>
      </c>
      <c r="H407" s="452">
        <f>WIDECHAR('記入シート'!C233)</f>
      </c>
      <c r="I407" s="453" t="s">
        <v>160</v>
      </c>
      <c r="J407" s="1792"/>
      <c r="K407" s="1189"/>
      <c r="L407" s="1793"/>
      <c r="M407" s="1794"/>
      <c r="N407" s="459" t="s">
        <v>486</v>
      </c>
      <c r="O407" s="460">
        <f>IF(O391=0,0,O391-O405)</f>
        <v>0</v>
      </c>
      <c r="P407" s="461" t="s">
        <v>453</v>
      </c>
      <c r="Q407" s="462"/>
      <c r="R407" s="463"/>
      <c r="S407" s="463"/>
      <c r="T407" s="463"/>
    </row>
    <row r="408" spans="2:20" ht="19.5" customHeight="1" thickTop="1">
      <c r="B408" s="1390" t="s">
        <v>111</v>
      </c>
      <c r="C408" s="1390" t="s">
        <v>400</v>
      </c>
      <c r="D408" s="1396" t="s">
        <v>98</v>
      </c>
      <c r="E408" s="872" t="s">
        <v>437</v>
      </c>
      <c r="F408" s="873"/>
      <c r="G408" s="1928">
        <f>G364-G371-O364*L364</f>
        <v>2527</v>
      </c>
      <c r="H408" s="1929"/>
      <c r="I408" s="873" t="s">
        <v>452</v>
      </c>
      <c r="J408" s="1401" t="s">
        <v>351</v>
      </c>
      <c r="K408" s="1186">
        <f ca="1">CELL("row",'記入シート'!C238)</f>
        <v>238</v>
      </c>
      <c r="L408" s="1404">
        <f>$L$32</f>
        <v>19</v>
      </c>
      <c r="M408" s="1407">
        <f>G416/L408</f>
        <v>132</v>
      </c>
      <c r="N408" s="1410" t="s">
        <v>144</v>
      </c>
      <c r="O408" s="1413">
        <f>O435-G413</f>
        <v>0</v>
      </c>
      <c r="P408" s="1416" t="s">
        <v>453</v>
      </c>
      <c r="Q408" s="1263">
        <f>IF(G412=0,REPT("　",O408*L408),CONCATENATE("④　",'記入シート'!C238,REPT("　",O408*L408+ABS(G414))))</f>
      </c>
      <c r="R408" s="1264"/>
      <c r="S408" s="1264"/>
      <c r="T408" s="1265"/>
    </row>
    <row r="409" spans="2:20" ht="19.5" customHeight="1">
      <c r="B409" s="1357"/>
      <c r="C409" s="1357"/>
      <c r="D409" s="1392"/>
      <c r="E409" s="855" t="s">
        <v>137</v>
      </c>
      <c r="F409" s="846"/>
      <c r="G409" s="1434">
        <f>IF(G408&gt;2,G408-2,0)</f>
        <v>2525</v>
      </c>
      <c r="H409" s="1435"/>
      <c r="I409" s="846" t="s">
        <v>452</v>
      </c>
      <c r="J409" s="1402"/>
      <c r="K409" s="1187"/>
      <c r="L409" s="1405"/>
      <c r="M409" s="1408"/>
      <c r="N409" s="1411"/>
      <c r="O409" s="1414"/>
      <c r="P409" s="1417"/>
      <c r="Q409" s="1266"/>
      <c r="R409" s="1267"/>
      <c r="S409" s="1267"/>
      <c r="T409" s="1268"/>
    </row>
    <row r="410" spans="2:20" ht="19.5" customHeight="1">
      <c r="B410" s="1357"/>
      <c r="C410" s="1357"/>
      <c r="D410" s="1392"/>
      <c r="E410" s="856" t="s">
        <v>152</v>
      </c>
      <c r="F410" s="843"/>
      <c r="G410" s="1434">
        <f>LEN('記入シート'!C238)</f>
        <v>0</v>
      </c>
      <c r="H410" s="1435"/>
      <c r="I410" s="846" t="s">
        <v>452</v>
      </c>
      <c r="J410" s="1402"/>
      <c r="K410" s="1187"/>
      <c r="L410" s="1405"/>
      <c r="M410" s="1408"/>
      <c r="N410" s="1412"/>
      <c r="O410" s="1415"/>
      <c r="P410" s="1418"/>
      <c r="Q410" s="1266"/>
      <c r="R410" s="1267"/>
      <c r="S410" s="1267"/>
      <c r="T410" s="1268"/>
    </row>
    <row r="411" spans="2:20" ht="19.5" customHeight="1">
      <c r="B411" s="1357"/>
      <c r="C411" s="1357"/>
      <c r="D411" s="1392"/>
      <c r="E411" s="856" t="s">
        <v>167</v>
      </c>
      <c r="F411" s="843"/>
      <c r="G411" s="1755" t="str">
        <f>IF(G410&gt;G409,"OVER","INSIDE")</f>
        <v>INSIDE</v>
      </c>
      <c r="H411" s="1756"/>
      <c r="I411" s="1757"/>
      <c r="J411" s="1402"/>
      <c r="K411" s="1187"/>
      <c r="L411" s="1405"/>
      <c r="M411" s="1408"/>
      <c r="N411" s="410"/>
      <c r="O411" s="395"/>
      <c r="P411" s="396"/>
      <c r="Q411" s="1266"/>
      <c r="R411" s="1267"/>
      <c r="S411" s="1267"/>
      <c r="T411" s="1268"/>
    </row>
    <row r="412" spans="2:20" ht="19.5" customHeight="1">
      <c r="B412" s="1357"/>
      <c r="C412" s="1357"/>
      <c r="D412" s="1392"/>
      <c r="E412" s="408" t="s">
        <v>156</v>
      </c>
      <c r="F412" s="384"/>
      <c r="G412" s="1399">
        <f>IF(G410=0,0,IF(G411="OVER",0,G410+2))</f>
        <v>0</v>
      </c>
      <c r="H412" s="1400"/>
      <c r="I412" s="387" t="s">
        <v>452</v>
      </c>
      <c r="J412" s="1402"/>
      <c r="K412" s="1187"/>
      <c r="L412" s="1405"/>
      <c r="M412" s="1408"/>
      <c r="N412" s="410"/>
      <c r="O412" s="395"/>
      <c r="P412" s="396"/>
      <c r="Q412" s="1266"/>
      <c r="R412" s="1267"/>
      <c r="S412" s="1267"/>
      <c r="T412" s="1268"/>
    </row>
    <row r="413" spans="2:20" ht="19.5" customHeight="1">
      <c r="B413" s="1357"/>
      <c r="C413" s="1357"/>
      <c r="D413" s="1392"/>
      <c r="E413" s="894" t="s">
        <v>451</v>
      </c>
      <c r="F413" s="411"/>
      <c r="G413" s="1399">
        <f>ROUNDUP(G412/L408,0)</f>
        <v>0</v>
      </c>
      <c r="H413" s="1400"/>
      <c r="I413" s="387" t="s">
        <v>453</v>
      </c>
      <c r="J413" s="1402"/>
      <c r="K413" s="1187"/>
      <c r="L413" s="1405"/>
      <c r="M413" s="1408"/>
      <c r="N413" s="410"/>
      <c r="O413" s="395"/>
      <c r="P413" s="396"/>
      <c r="Q413" s="1266"/>
      <c r="R413" s="1267"/>
      <c r="S413" s="1267"/>
      <c r="T413" s="1268"/>
    </row>
    <row r="414" spans="2:20" ht="19.5" customHeight="1">
      <c r="B414" s="1357"/>
      <c r="C414" s="1357"/>
      <c r="D414" s="1392"/>
      <c r="E414" s="894" t="s">
        <v>419</v>
      </c>
      <c r="F414" s="411"/>
      <c r="G414" s="1399">
        <f>G412-G413*L408</f>
        <v>0</v>
      </c>
      <c r="H414" s="1400"/>
      <c r="I414" s="387" t="s">
        <v>452</v>
      </c>
      <c r="J414" s="1402"/>
      <c r="K414" s="1187"/>
      <c r="L414" s="1405"/>
      <c r="M414" s="1408"/>
      <c r="N414" s="410"/>
      <c r="O414" s="395"/>
      <c r="P414" s="396"/>
      <c r="Q414" s="1266"/>
      <c r="R414" s="1267"/>
      <c r="S414" s="1267"/>
      <c r="T414" s="1268"/>
    </row>
    <row r="415" spans="2:20" ht="19.5" customHeight="1" thickBot="1">
      <c r="B415" s="1357"/>
      <c r="C415" s="1357"/>
      <c r="D415" s="1392"/>
      <c r="E415" s="895" t="s">
        <v>423</v>
      </c>
      <c r="F415" s="420"/>
      <c r="G415" s="1429">
        <f>G413*L408</f>
        <v>0</v>
      </c>
      <c r="H415" s="1430"/>
      <c r="I415" s="398" t="s">
        <v>452</v>
      </c>
      <c r="J415" s="1402"/>
      <c r="K415" s="1187"/>
      <c r="L415" s="1405"/>
      <c r="M415" s="1408"/>
      <c r="N415" s="410"/>
      <c r="O415" s="395"/>
      <c r="P415" s="396"/>
      <c r="Q415" s="1266"/>
      <c r="R415" s="1267"/>
      <c r="S415" s="1267"/>
      <c r="T415" s="1268"/>
    </row>
    <row r="416" spans="2:20" ht="19.5" customHeight="1">
      <c r="B416" s="1357" t="s">
        <v>111</v>
      </c>
      <c r="C416" s="1389" t="s">
        <v>332</v>
      </c>
      <c r="D416" s="1391" t="s">
        <v>267</v>
      </c>
      <c r="E416" s="405" t="s">
        <v>437</v>
      </c>
      <c r="F416" s="401"/>
      <c r="G416" s="1397">
        <f>G372-G371-O364*L364</f>
        <v>2508</v>
      </c>
      <c r="H416" s="1398"/>
      <c r="I416" s="401" t="s">
        <v>452</v>
      </c>
      <c r="J416" s="1402"/>
      <c r="K416" s="1187"/>
      <c r="L416" s="1405"/>
      <c r="M416" s="1408"/>
      <c r="N416" s="410"/>
      <c r="O416" s="395"/>
      <c r="P416" s="396"/>
      <c r="Q416" s="1266"/>
      <c r="R416" s="1267"/>
      <c r="S416" s="1267"/>
      <c r="T416" s="1268"/>
    </row>
    <row r="417" spans="2:20" ht="19.5" customHeight="1">
      <c r="B417" s="1357"/>
      <c r="C417" s="1357"/>
      <c r="D417" s="1392"/>
      <c r="E417" s="406" t="s">
        <v>137</v>
      </c>
      <c r="F417" s="387"/>
      <c r="G417" s="1206">
        <f>IF(G416&gt;2,G416-2,0)</f>
        <v>2506</v>
      </c>
      <c r="H417" s="1207"/>
      <c r="I417" s="796" t="s">
        <v>452</v>
      </c>
      <c r="J417" s="1402"/>
      <c r="K417" s="1187"/>
      <c r="L417" s="1405"/>
      <c r="M417" s="1408"/>
      <c r="N417" s="410"/>
      <c r="O417" s="395"/>
      <c r="P417" s="396"/>
      <c r="Q417" s="1266"/>
      <c r="R417" s="1267"/>
      <c r="S417" s="1267"/>
      <c r="T417" s="1268"/>
    </row>
    <row r="418" spans="2:20" ht="19.5" customHeight="1">
      <c r="B418" s="1357"/>
      <c r="C418" s="1357"/>
      <c r="D418" s="1392"/>
      <c r="E418" s="408" t="s">
        <v>152</v>
      </c>
      <c r="F418" s="384"/>
      <c r="G418" s="1399">
        <f>LEN('記入シート'!C246)</f>
        <v>0</v>
      </c>
      <c r="H418" s="1400"/>
      <c r="I418" s="387" t="s">
        <v>452</v>
      </c>
      <c r="J418" s="1402"/>
      <c r="K418" s="1187"/>
      <c r="L418" s="1405"/>
      <c r="M418" s="1408"/>
      <c r="N418" s="410"/>
      <c r="O418" s="395"/>
      <c r="P418" s="396"/>
      <c r="Q418" s="1266"/>
      <c r="R418" s="1267"/>
      <c r="S418" s="1267"/>
      <c r="T418" s="1268"/>
    </row>
    <row r="419" spans="2:20" ht="19.5" customHeight="1" thickBot="1">
      <c r="B419" s="1357"/>
      <c r="C419" s="1395"/>
      <c r="D419" s="1394"/>
      <c r="E419" s="852" t="s">
        <v>167</v>
      </c>
      <c r="F419" s="853"/>
      <c r="G419" s="1421" t="str">
        <f>IF(G418&gt;G417,"OVER","INSIDE")</f>
        <v>INSIDE</v>
      </c>
      <c r="H419" s="1422"/>
      <c r="I419" s="1423"/>
      <c r="J419" s="1403"/>
      <c r="K419" s="1188"/>
      <c r="L419" s="1406"/>
      <c r="M419" s="1409"/>
      <c r="N419" s="413"/>
      <c r="O419" s="403"/>
      <c r="P419" s="404"/>
      <c r="Q419" s="1269"/>
      <c r="R419" s="1270"/>
      <c r="S419" s="1270"/>
      <c r="T419" s="1271"/>
    </row>
    <row r="420" spans="2:20" ht="19.5" customHeight="1">
      <c r="B420" s="1357" t="s">
        <v>111</v>
      </c>
      <c r="C420" s="1389" t="s">
        <v>400</v>
      </c>
      <c r="D420" s="1391" t="s">
        <v>267</v>
      </c>
      <c r="E420" s="667"/>
      <c r="F420" s="874" t="s">
        <v>455</v>
      </c>
      <c r="G420" s="1419">
        <f>LEN(LEFT('記入シート'!C242,L420))</f>
        <v>0</v>
      </c>
      <c r="H420" s="1420"/>
      <c r="I420" s="418" t="s">
        <v>452</v>
      </c>
      <c r="J420" s="1772" t="s">
        <v>352</v>
      </c>
      <c r="K420" s="1186">
        <f ca="1">CELL("row",'記入シート'!C242)</f>
        <v>242</v>
      </c>
      <c r="L420" s="1405">
        <f>$L$40</f>
        <v>6</v>
      </c>
      <c r="M420" s="1408">
        <f>M408</f>
        <v>132</v>
      </c>
      <c r="N420" s="1787" t="s">
        <v>474</v>
      </c>
      <c r="O420" s="1414">
        <f>SUM(G420:H427)</f>
        <v>0</v>
      </c>
      <c r="P420" s="1798" t="s">
        <v>452</v>
      </c>
      <c r="Q420" s="1554">
        <f>IF(O425=0,REPT("　",O435*L420),CONCATENATE(LEFT('記入シート'!C242,L420),REPT("　",G421),LEFT('記入シート'!C243,L420),REPT("　",G423),LEFT('記入シート'!C244,L420),REPT("　",G425),LEFT('記入シート'!C245,L420),REPT("　",G427),REPT("　",L420*O427)))</f>
      </c>
      <c r="R420" s="313"/>
      <c r="S420" s="313"/>
      <c r="T420" s="313"/>
    </row>
    <row r="421" spans="2:20" ht="19.5" customHeight="1">
      <c r="B421" s="1357"/>
      <c r="C421" s="1357"/>
      <c r="D421" s="1392"/>
      <c r="E421" s="667"/>
      <c r="F421" s="779" t="s">
        <v>458</v>
      </c>
      <c r="G421" s="1399">
        <f>IF(G420=0,0,$L$40-G420)</f>
        <v>0</v>
      </c>
      <c r="H421" s="1400"/>
      <c r="I421" s="398" t="s">
        <v>452</v>
      </c>
      <c r="J421" s="1770"/>
      <c r="K421" s="1187"/>
      <c r="L421" s="1405"/>
      <c r="M421" s="1408"/>
      <c r="N421" s="1787"/>
      <c r="O421" s="1414"/>
      <c r="P421" s="1798"/>
      <c r="Q421" s="1554"/>
      <c r="R421" s="313"/>
      <c r="S421" s="313"/>
      <c r="T421" s="313"/>
    </row>
    <row r="422" spans="2:20" ht="19.5" customHeight="1">
      <c r="B422" s="1357"/>
      <c r="C422" s="1357"/>
      <c r="D422" s="1392"/>
      <c r="E422" s="667"/>
      <c r="F422" s="779" t="s">
        <v>456</v>
      </c>
      <c r="G422" s="1399">
        <f>LEN(LEFT('記入シート'!C243,L420))</f>
        <v>0</v>
      </c>
      <c r="H422" s="1400"/>
      <c r="I422" s="398" t="s">
        <v>452</v>
      </c>
      <c r="J422" s="1770" t="s">
        <v>352</v>
      </c>
      <c r="K422" s="1185">
        <f ca="1">CELL("row",'記入シート'!C243)</f>
        <v>243</v>
      </c>
      <c r="L422" s="1405"/>
      <c r="M422" s="1408"/>
      <c r="N422" s="1787"/>
      <c r="O422" s="1414"/>
      <c r="P422" s="1798"/>
      <c r="Q422" s="1554"/>
      <c r="R422" s="313"/>
      <c r="S422" s="313"/>
      <c r="T422" s="313"/>
    </row>
    <row r="423" spans="2:20" ht="19.5" customHeight="1">
      <c r="B423" s="1357"/>
      <c r="C423" s="1357"/>
      <c r="D423" s="1392"/>
      <c r="E423" s="414" t="s">
        <v>401</v>
      </c>
      <c r="F423" s="779" t="s">
        <v>459</v>
      </c>
      <c r="G423" s="1399">
        <f>IF(G422=0,0,$L$40-G422)</f>
        <v>0</v>
      </c>
      <c r="H423" s="1400"/>
      <c r="I423" s="398" t="s">
        <v>452</v>
      </c>
      <c r="J423" s="1770"/>
      <c r="K423" s="1185"/>
      <c r="L423" s="1405"/>
      <c r="M423" s="1408"/>
      <c r="N423" s="1787"/>
      <c r="O423" s="1414"/>
      <c r="P423" s="1798"/>
      <c r="Q423" s="1549"/>
      <c r="R423" s="313"/>
      <c r="S423" s="313"/>
      <c r="T423" s="313"/>
    </row>
    <row r="424" spans="2:20" ht="19.5" customHeight="1">
      <c r="B424" s="1357"/>
      <c r="C424" s="1357"/>
      <c r="D424" s="1392"/>
      <c r="E424" s="414" t="s">
        <v>281</v>
      </c>
      <c r="F424" s="441" t="s">
        <v>475</v>
      </c>
      <c r="G424" s="1399">
        <f>LEN(LEFT('記入シート'!C244,L420))</f>
        <v>0</v>
      </c>
      <c r="H424" s="1400"/>
      <c r="I424" s="398" t="s">
        <v>452</v>
      </c>
      <c r="J424" s="1790" t="s">
        <v>352</v>
      </c>
      <c r="K424" s="1185">
        <f ca="1">CELL("row",'記入シート'!C244)</f>
        <v>244</v>
      </c>
      <c r="L424" s="1405"/>
      <c r="M424" s="1408"/>
      <c r="N424" s="1788"/>
      <c r="O424" s="1415"/>
      <c r="P424" s="1799"/>
      <c r="Q424" s="320"/>
      <c r="R424" s="313"/>
      <c r="S424" s="313"/>
      <c r="T424" s="313"/>
    </row>
    <row r="425" spans="2:20" ht="19.5" customHeight="1">
      <c r="B425" s="1357"/>
      <c r="C425" s="1357"/>
      <c r="D425" s="1392"/>
      <c r="E425" s="667"/>
      <c r="F425" s="441" t="s">
        <v>476</v>
      </c>
      <c r="G425" s="1399">
        <f>IF(G424=0,0,$L$40-G424)</f>
        <v>0</v>
      </c>
      <c r="H425" s="1400"/>
      <c r="I425" s="398" t="s">
        <v>452</v>
      </c>
      <c r="J425" s="1772"/>
      <c r="K425" s="1185"/>
      <c r="L425" s="1405"/>
      <c r="M425" s="1408"/>
      <c r="N425" s="1774" t="s">
        <v>480</v>
      </c>
      <c r="O425" s="1776">
        <f>O420/$L$40</f>
        <v>0</v>
      </c>
      <c r="P425" s="1769" t="s">
        <v>453</v>
      </c>
      <c r="Q425" s="320"/>
      <c r="R425" s="313"/>
      <c r="S425" s="313"/>
      <c r="T425" s="313"/>
    </row>
    <row r="426" spans="2:20" ht="19.5" customHeight="1">
      <c r="B426" s="1357"/>
      <c r="C426" s="1357"/>
      <c r="D426" s="1392"/>
      <c r="E426" s="667"/>
      <c r="F426" s="441" t="s">
        <v>477</v>
      </c>
      <c r="G426" s="1399">
        <f>LEN(LEFT('記入シート'!C245,L420))</f>
        <v>0</v>
      </c>
      <c r="H426" s="1400"/>
      <c r="I426" s="398" t="s">
        <v>452</v>
      </c>
      <c r="J426" s="1790" t="s">
        <v>352</v>
      </c>
      <c r="K426" s="1185">
        <f ca="1">CELL("row",'記入シート'!C245)</f>
        <v>245</v>
      </c>
      <c r="L426" s="1405"/>
      <c r="M426" s="1408"/>
      <c r="N426" s="1412"/>
      <c r="O426" s="1415"/>
      <c r="P426" s="1418"/>
      <c r="Q426" s="995"/>
      <c r="R426" s="313"/>
      <c r="S426" s="313"/>
      <c r="T426" s="313"/>
    </row>
    <row r="427" spans="2:20" ht="19.5" customHeight="1">
      <c r="B427" s="1357"/>
      <c r="C427" s="1357"/>
      <c r="D427" s="1392"/>
      <c r="E427" s="667"/>
      <c r="F427" s="441" t="s">
        <v>478</v>
      </c>
      <c r="G427" s="1399">
        <f>IF(G426=0,0,$L$40-G426)</f>
        <v>0</v>
      </c>
      <c r="H427" s="1400"/>
      <c r="I427" s="387" t="s">
        <v>452</v>
      </c>
      <c r="J427" s="1772"/>
      <c r="K427" s="1185"/>
      <c r="L427" s="1773"/>
      <c r="M427" s="1789"/>
      <c r="N427" s="425" t="s">
        <v>252</v>
      </c>
      <c r="O427" s="776">
        <f>O435-O425</f>
        <v>0</v>
      </c>
      <c r="P427" s="426" t="s">
        <v>453</v>
      </c>
      <c r="Q427" s="995"/>
      <c r="R427" s="313"/>
      <c r="S427" s="313"/>
      <c r="T427" s="313"/>
    </row>
    <row r="428" spans="2:20" ht="19.5" customHeight="1">
      <c r="B428" s="1357"/>
      <c r="C428" s="1357"/>
      <c r="D428" s="1392"/>
      <c r="E428" s="442"/>
      <c r="F428" s="416"/>
      <c r="G428" s="416"/>
      <c r="H428" s="417"/>
      <c r="I428" s="443"/>
      <c r="J428" s="1011"/>
      <c r="K428" s="1022"/>
      <c r="L428" s="444"/>
      <c r="M428" s="445"/>
      <c r="N428" s="1795" t="s">
        <v>124</v>
      </c>
      <c r="O428" s="1620" t="str">
        <f>IF(O425&gt;G416/L408,"OVER","INSIDE")</f>
        <v>INSIDE</v>
      </c>
      <c r="P428" s="1621"/>
      <c r="Q428" s="424"/>
      <c r="R428" s="419"/>
      <c r="S428" s="419"/>
      <c r="T428" s="419"/>
    </row>
    <row r="429" spans="2:20" ht="19.5" customHeight="1" thickBot="1">
      <c r="B429" s="1357"/>
      <c r="C429" s="1357"/>
      <c r="D429" s="1392"/>
      <c r="E429" s="432"/>
      <c r="F429" s="433"/>
      <c r="G429" s="433"/>
      <c r="H429" s="434"/>
      <c r="I429" s="435"/>
      <c r="J429" s="1010"/>
      <c r="K429" s="1023"/>
      <c r="L429" s="436"/>
      <c r="M429" s="437"/>
      <c r="N429" s="1796"/>
      <c r="O429" s="1622"/>
      <c r="P429" s="1623"/>
      <c r="Q429" s="424"/>
      <c r="R429" s="419"/>
      <c r="S429" s="419"/>
      <c r="T429" s="419"/>
    </row>
    <row r="430" spans="2:20" ht="19.5" customHeight="1">
      <c r="B430" s="1357" t="s">
        <v>111</v>
      </c>
      <c r="C430" s="1357" t="s">
        <v>400</v>
      </c>
      <c r="D430" s="1392" t="s">
        <v>267</v>
      </c>
      <c r="E430" s="666"/>
      <c r="F430" s="439" t="s">
        <v>455</v>
      </c>
      <c r="G430" s="1397">
        <f>LEN(LEFT('記入シート'!C248,L430))</f>
        <v>0</v>
      </c>
      <c r="H430" s="1398"/>
      <c r="I430" s="440" t="s">
        <v>452</v>
      </c>
      <c r="J430" s="1771" t="s">
        <v>352</v>
      </c>
      <c r="K430" s="1186">
        <f ca="1">CELL("row",'記入シート'!C248)</f>
        <v>248</v>
      </c>
      <c r="L430" s="1425">
        <f>$L$49</f>
        <v>6</v>
      </c>
      <c r="M430" s="1781">
        <f>M408</f>
        <v>132</v>
      </c>
      <c r="N430" s="1786" t="s">
        <v>484</v>
      </c>
      <c r="O430" s="1764">
        <f>SUM(G430:H433)</f>
        <v>0</v>
      </c>
      <c r="P430" s="1765" t="s">
        <v>452</v>
      </c>
      <c r="Q430" s="1548">
        <f>IF(O433=0,REPT("　",O435*L430),CONCATENATE(LEFT('記入シート'!C248,L430),REPT("　",G431),LEFT('記入シート'!C249,L430),REPT("　",G433),REPT("　",L430*O438)))</f>
      </c>
      <c r="R430" s="419"/>
      <c r="S430" s="419"/>
      <c r="T430" s="419"/>
    </row>
    <row r="431" spans="2:20" ht="19.5" customHeight="1">
      <c r="B431" s="1357"/>
      <c r="C431" s="1357"/>
      <c r="D431" s="1392"/>
      <c r="E431" s="414" t="s">
        <v>402</v>
      </c>
      <c r="F431" s="420" t="s">
        <v>458</v>
      </c>
      <c r="G431" s="1399">
        <f>IF(G430=0,0,$L$49-G430)</f>
        <v>0</v>
      </c>
      <c r="H431" s="1400"/>
      <c r="I431" s="398" t="s">
        <v>452</v>
      </c>
      <c r="J431" s="1770"/>
      <c r="K431" s="1187"/>
      <c r="L431" s="1405"/>
      <c r="M431" s="1783"/>
      <c r="N431" s="1787"/>
      <c r="O431" s="1414"/>
      <c r="P431" s="1417"/>
      <c r="Q431" s="1549"/>
      <c r="R431" s="419"/>
      <c r="S431" s="419"/>
      <c r="T431" s="419"/>
    </row>
    <row r="432" spans="2:20" ht="19.5" customHeight="1">
      <c r="B432" s="1357"/>
      <c r="C432" s="1357"/>
      <c r="D432" s="1392"/>
      <c r="E432" s="414" t="s">
        <v>281</v>
      </c>
      <c r="F432" s="420" t="s">
        <v>456</v>
      </c>
      <c r="G432" s="1399">
        <f>LEN(LEFT('記入シート'!C249,L430))</f>
        <v>0</v>
      </c>
      <c r="H432" s="1400"/>
      <c r="I432" s="398" t="s">
        <v>452</v>
      </c>
      <c r="J432" s="1790" t="s">
        <v>352</v>
      </c>
      <c r="K432" s="1183">
        <f ca="1">CELL("row",'記入シート'!C249)</f>
        <v>249</v>
      </c>
      <c r="L432" s="1405"/>
      <c r="M432" s="1783"/>
      <c r="N432" s="1788"/>
      <c r="O432" s="1415"/>
      <c r="P432" s="1418"/>
      <c r="Q432" s="424"/>
      <c r="R432" s="419"/>
      <c r="S432" s="419"/>
      <c r="T432" s="419"/>
    </row>
    <row r="433" spans="2:20" ht="19.5" customHeight="1">
      <c r="B433" s="1357"/>
      <c r="C433" s="1357"/>
      <c r="D433" s="1392"/>
      <c r="E433" s="667"/>
      <c r="F433" s="411" t="s">
        <v>459</v>
      </c>
      <c r="G433" s="1399">
        <f>IF(G432=0,0,$L$49-G432)</f>
        <v>0</v>
      </c>
      <c r="H433" s="1400"/>
      <c r="I433" s="387" t="s">
        <v>452</v>
      </c>
      <c r="J433" s="1772"/>
      <c r="K433" s="1182"/>
      <c r="L433" s="1773"/>
      <c r="M433" s="1783"/>
      <c r="N433" s="1774" t="s">
        <v>479</v>
      </c>
      <c r="O433" s="1776">
        <f>O430/$L$49</f>
        <v>0</v>
      </c>
      <c r="P433" s="1769" t="s">
        <v>453</v>
      </c>
      <c r="Q433" s="424"/>
      <c r="R433" s="419"/>
      <c r="S433" s="419"/>
      <c r="T433" s="419"/>
    </row>
    <row r="434" spans="2:20" ht="19.5" customHeight="1">
      <c r="B434" s="1357"/>
      <c r="C434" s="1357"/>
      <c r="D434" s="1392"/>
      <c r="E434" s="442"/>
      <c r="F434" s="421"/>
      <c r="G434" s="421"/>
      <c r="H434" s="422"/>
      <c r="I434" s="429"/>
      <c r="J434" s="1009"/>
      <c r="K434" s="429"/>
      <c r="L434" s="430"/>
      <c r="M434" s="430"/>
      <c r="N434" s="1411"/>
      <c r="O434" s="1414"/>
      <c r="P434" s="1417"/>
      <c r="Q434" s="424"/>
      <c r="R434" s="419"/>
      <c r="S434" s="419"/>
      <c r="T434" s="419"/>
    </row>
    <row r="435" spans="2:20" ht="19.5" customHeight="1">
      <c r="B435" s="1357"/>
      <c r="C435" s="1357"/>
      <c r="D435" s="1392"/>
      <c r="E435" s="442"/>
      <c r="F435" s="416"/>
      <c r="G435" s="416"/>
      <c r="H435" s="417"/>
      <c r="I435" s="443"/>
      <c r="J435" s="1011"/>
      <c r="K435" s="443"/>
      <c r="L435" s="444"/>
      <c r="M435" s="444"/>
      <c r="N435" s="1774" t="s">
        <v>483</v>
      </c>
      <c r="O435" s="1776">
        <f>MAX(G413,O425,O433)</f>
        <v>0</v>
      </c>
      <c r="P435" s="1769" t="s">
        <v>453</v>
      </c>
      <c r="Q435" s="424"/>
      <c r="R435" s="419"/>
      <c r="S435" s="419"/>
      <c r="T435" s="419"/>
    </row>
    <row r="436" spans="2:20" ht="19.5" customHeight="1">
      <c r="B436" s="1357"/>
      <c r="C436" s="1357"/>
      <c r="D436" s="1392"/>
      <c r="E436" s="442"/>
      <c r="F436" s="416"/>
      <c r="G436" s="416"/>
      <c r="H436" s="417"/>
      <c r="I436" s="443"/>
      <c r="J436" s="1011"/>
      <c r="K436" s="443"/>
      <c r="L436" s="444"/>
      <c r="M436" s="444"/>
      <c r="N436" s="1411"/>
      <c r="O436" s="1414"/>
      <c r="P436" s="1417"/>
      <c r="Q436" s="424"/>
      <c r="R436" s="419"/>
      <c r="S436" s="419"/>
      <c r="T436" s="419"/>
    </row>
    <row r="437" spans="2:20" ht="19.5" customHeight="1">
      <c r="B437" s="1357"/>
      <c r="C437" s="1357"/>
      <c r="D437" s="1392"/>
      <c r="E437" s="442"/>
      <c r="F437" s="416"/>
      <c r="G437" s="416"/>
      <c r="H437" s="417"/>
      <c r="I437" s="443"/>
      <c r="J437" s="1011"/>
      <c r="K437" s="443"/>
      <c r="L437" s="444"/>
      <c r="M437" s="444"/>
      <c r="N437" s="1412"/>
      <c r="O437" s="1415"/>
      <c r="P437" s="1418"/>
      <c r="Q437" s="424"/>
      <c r="R437" s="419"/>
      <c r="S437" s="419"/>
      <c r="T437" s="419"/>
    </row>
    <row r="438" spans="2:20" ht="19.5" customHeight="1">
      <c r="B438" s="1357"/>
      <c r="C438" s="1357"/>
      <c r="D438" s="1392"/>
      <c r="E438" s="442"/>
      <c r="F438" s="416"/>
      <c r="G438" s="416"/>
      <c r="H438" s="417"/>
      <c r="I438" s="443"/>
      <c r="J438" s="1011"/>
      <c r="K438" s="443"/>
      <c r="L438" s="444"/>
      <c r="M438" s="444"/>
      <c r="N438" s="425" t="s">
        <v>145</v>
      </c>
      <c r="O438" s="776">
        <f>O435-O433</f>
        <v>0</v>
      </c>
      <c r="P438" s="426" t="s">
        <v>453</v>
      </c>
      <c r="Q438" s="424"/>
      <c r="R438" s="419"/>
      <c r="S438" s="419"/>
      <c r="T438" s="419"/>
    </row>
    <row r="439" spans="2:20" ht="19.5" customHeight="1">
      <c r="B439" s="1357"/>
      <c r="C439" s="1357"/>
      <c r="D439" s="1392"/>
      <c r="E439" s="442"/>
      <c r="F439" s="416"/>
      <c r="G439" s="416"/>
      <c r="H439" s="417"/>
      <c r="I439" s="443"/>
      <c r="J439" s="1011"/>
      <c r="K439" s="443"/>
      <c r="L439" s="444"/>
      <c r="M439" s="445"/>
      <c r="N439" s="1795" t="s">
        <v>125</v>
      </c>
      <c r="O439" s="1620" t="str">
        <f>IF(O433&gt;G416/L408,"OVER","INSIDE")</f>
        <v>INSIDE</v>
      </c>
      <c r="P439" s="1621"/>
      <c r="Q439" s="424"/>
      <c r="R439" s="419"/>
      <c r="S439" s="419"/>
      <c r="T439" s="419"/>
    </row>
    <row r="440" spans="2:20" ht="19.5" customHeight="1" thickBot="1">
      <c r="B440" s="1357"/>
      <c r="C440" s="1357"/>
      <c r="D440" s="1392"/>
      <c r="E440" s="432"/>
      <c r="F440" s="433"/>
      <c r="G440" s="433"/>
      <c r="H440" s="434"/>
      <c r="I440" s="435"/>
      <c r="J440" s="1010"/>
      <c r="K440" s="443"/>
      <c r="L440" s="436"/>
      <c r="M440" s="437"/>
      <c r="N440" s="1796"/>
      <c r="O440" s="1622"/>
      <c r="P440" s="1623"/>
      <c r="Q440" s="424"/>
      <c r="R440" s="419"/>
      <c r="S440" s="419"/>
      <c r="T440" s="419"/>
    </row>
    <row r="441" spans="2:20" ht="19.5" customHeight="1">
      <c r="B441" s="1357" t="s">
        <v>111</v>
      </c>
      <c r="C441" s="1357" t="s">
        <v>400</v>
      </c>
      <c r="D441" s="1392" t="s">
        <v>267</v>
      </c>
      <c r="E441" s="666"/>
      <c r="F441" s="446" t="s">
        <v>1</v>
      </c>
      <c r="G441" s="1397">
        <f>LEN(LEFT('記入シート'!D252,2))</f>
        <v>0</v>
      </c>
      <c r="H441" s="1398"/>
      <c r="I441" s="440" t="s">
        <v>452</v>
      </c>
      <c r="J441" s="1771" t="s">
        <v>353</v>
      </c>
      <c r="K441" s="1181">
        <f ca="1">CELL("row",'記入シート'!D252)</f>
        <v>252</v>
      </c>
      <c r="L441" s="1784">
        <v>2</v>
      </c>
      <c r="M441" s="1781">
        <f>M408</f>
        <v>132</v>
      </c>
      <c r="N441" s="1762" t="s">
        <v>8</v>
      </c>
      <c r="O441" s="1764">
        <f>IF(G441=0,0,1)</f>
        <v>0</v>
      </c>
      <c r="P441" s="1765" t="s">
        <v>453</v>
      </c>
      <c r="Q441" s="503" t="s">
        <v>6</v>
      </c>
      <c r="R441" s="419"/>
      <c r="S441" s="419"/>
      <c r="T441" s="419"/>
    </row>
    <row r="442" spans="2:20" ht="19.5" customHeight="1">
      <c r="B442" s="1357"/>
      <c r="C442" s="1357"/>
      <c r="D442" s="1392"/>
      <c r="E442" s="667"/>
      <c r="F442" s="420" t="s">
        <v>2</v>
      </c>
      <c r="G442" s="1399">
        <f>$L$58-G441</f>
        <v>2</v>
      </c>
      <c r="H442" s="1400"/>
      <c r="I442" s="398" t="s">
        <v>452</v>
      </c>
      <c r="J442" s="1770"/>
      <c r="K442" s="1182"/>
      <c r="L442" s="1779"/>
      <c r="M442" s="1782"/>
      <c r="N442" s="1763"/>
      <c r="O442" s="1415"/>
      <c r="P442" s="1418"/>
      <c r="Q442" s="986">
        <f>IF(G412=0,"",IF(O441=0,REPT("　",5*O443),CONCATENATE(REPT("　",G442),LEFT('記入シート'!D252,L441),"／",REPT("　",G444),LEFT('記入シート'!G252,L443),REPT("　",5*O443))))</f>
      </c>
      <c r="R442" s="419"/>
      <c r="S442" s="419"/>
      <c r="T442" s="419"/>
    </row>
    <row r="443" spans="2:20" ht="19.5" customHeight="1">
      <c r="B443" s="1357"/>
      <c r="C443" s="1357"/>
      <c r="D443" s="1392"/>
      <c r="E443" s="667"/>
      <c r="F443" s="420" t="s">
        <v>3</v>
      </c>
      <c r="G443" s="1399">
        <f>LEN(LEFT('記入シート'!G252,2))</f>
        <v>0</v>
      </c>
      <c r="H443" s="1400"/>
      <c r="I443" s="398" t="s">
        <v>452</v>
      </c>
      <c r="J443" s="1770" t="s">
        <v>354</v>
      </c>
      <c r="K443" s="1183">
        <f ca="1">CELL("row",'記入シート'!G252)</f>
        <v>252</v>
      </c>
      <c r="L443" s="1779">
        <v>2</v>
      </c>
      <c r="M443" s="1783">
        <f>M408</f>
        <v>132</v>
      </c>
      <c r="N443" s="1774" t="s">
        <v>147</v>
      </c>
      <c r="O443" s="1776">
        <f>O435-O441</f>
        <v>0</v>
      </c>
      <c r="P443" s="1769" t="s">
        <v>453</v>
      </c>
      <c r="Q443" s="987"/>
      <c r="R443" s="419"/>
      <c r="S443" s="419"/>
      <c r="T443" s="419"/>
    </row>
    <row r="444" spans="2:20" ht="19.5" customHeight="1">
      <c r="B444" s="1357"/>
      <c r="C444" s="1357"/>
      <c r="D444" s="1392"/>
      <c r="E444" s="414" t="s">
        <v>403</v>
      </c>
      <c r="F444" s="420" t="s">
        <v>461</v>
      </c>
      <c r="G444" s="1399">
        <f>$L$60-G443</f>
        <v>2</v>
      </c>
      <c r="H444" s="1400"/>
      <c r="I444" s="398" t="s">
        <v>452</v>
      </c>
      <c r="J444" s="1770"/>
      <c r="K444" s="1182"/>
      <c r="L444" s="1779"/>
      <c r="M444" s="1783"/>
      <c r="N444" s="1412"/>
      <c r="O444" s="1415"/>
      <c r="P444" s="1418"/>
      <c r="Q444" s="988"/>
      <c r="R444" s="419"/>
      <c r="S444" s="419"/>
      <c r="T444" s="419"/>
    </row>
    <row r="445" spans="2:20" ht="19.5" customHeight="1">
      <c r="B445" s="1357"/>
      <c r="C445" s="1357"/>
      <c r="D445" s="1392"/>
      <c r="E445" s="414" t="s">
        <v>281</v>
      </c>
      <c r="F445" s="420" t="s">
        <v>4</v>
      </c>
      <c r="G445" s="1399">
        <f>LEN(LEFT('記入シート'!N252,2))</f>
        <v>0</v>
      </c>
      <c r="H445" s="1400"/>
      <c r="I445" s="398" t="s">
        <v>452</v>
      </c>
      <c r="J445" s="1770" t="s">
        <v>355</v>
      </c>
      <c r="K445" s="1183">
        <f ca="1">CELL("row",'記入シート'!N252)</f>
        <v>252</v>
      </c>
      <c r="L445" s="1779">
        <v>2</v>
      </c>
      <c r="M445" s="1783">
        <f>M408</f>
        <v>132</v>
      </c>
      <c r="N445" s="1785" t="s">
        <v>178</v>
      </c>
      <c r="O445" s="1776">
        <f>IF(G445=0,0,1)</f>
        <v>0</v>
      </c>
      <c r="P445" s="1769" t="s">
        <v>453</v>
      </c>
      <c r="Q445" s="503" t="s">
        <v>7</v>
      </c>
      <c r="R445" s="419"/>
      <c r="S445" s="419"/>
      <c r="T445" s="419"/>
    </row>
    <row r="446" spans="2:20" ht="19.5" customHeight="1">
      <c r="B446" s="1357"/>
      <c r="C446" s="1357"/>
      <c r="D446" s="1392"/>
      <c r="E446" s="667"/>
      <c r="F446" s="420" t="s">
        <v>5</v>
      </c>
      <c r="G446" s="1399">
        <f>$L$62-G445</f>
        <v>2</v>
      </c>
      <c r="H446" s="1400"/>
      <c r="I446" s="398" t="s">
        <v>452</v>
      </c>
      <c r="J446" s="1770"/>
      <c r="K446" s="1182"/>
      <c r="L446" s="1779"/>
      <c r="M446" s="1783"/>
      <c r="N446" s="1763"/>
      <c r="O446" s="1415"/>
      <c r="P446" s="1418"/>
      <c r="Q446" s="986">
        <f>IF(G412=0,"",IF(O445=0,REPT("　",5*O447),CONCATENATE(REPT("　",G446),LEFT('記入シート'!N252,L445),"／",REPT("　",G448),LEFT('記入シート'!Q252,L447),REPT("　",5*O447))))</f>
      </c>
      <c r="R446" s="419"/>
      <c r="S446" s="419"/>
      <c r="T446" s="419"/>
    </row>
    <row r="447" spans="2:20" ht="19.5" customHeight="1">
      <c r="B447" s="1357"/>
      <c r="C447" s="1357"/>
      <c r="D447" s="1392"/>
      <c r="E447" s="667"/>
      <c r="F447" s="420" t="s">
        <v>462</v>
      </c>
      <c r="G447" s="1399">
        <f>LEN(LEFT('記入シート'!Q252,2))</f>
        <v>0</v>
      </c>
      <c r="H447" s="1400"/>
      <c r="I447" s="398" t="s">
        <v>452</v>
      </c>
      <c r="J447" s="1770" t="s">
        <v>356</v>
      </c>
      <c r="K447" s="1183">
        <f ca="1">CELL("row",'記入シート'!Q252)</f>
        <v>252</v>
      </c>
      <c r="L447" s="1779">
        <v>2</v>
      </c>
      <c r="M447" s="1783">
        <f>M408</f>
        <v>132</v>
      </c>
      <c r="N447" s="1774" t="s">
        <v>180</v>
      </c>
      <c r="O447" s="1776">
        <f>O435-O445</f>
        <v>0</v>
      </c>
      <c r="P447" s="1769" t="s">
        <v>453</v>
      </c>
      <c r="Q447" s="987"/>
      <c r="R447" s="419"/>
      <c r="S447" s="419"/>
      <c r="T447" s="419"/>
    </row>
    <row r="448" spans="2:20" ht="19.5" customHeight="1" thickBot="1">
      <c r="B448" s="1357"/>
      <c r="C448" s="1357"/>
      <c r="D448" s="1392"/>
      <c r="E448" s="668"/>
      <c r="F448" s="420" t="s">
        <v>463</v>
      </c>
      <c r="G448" s="1926">
        <f>$L$64-G447</f>
        <v>2</v>
      </c>
      <c r="H448" s="1927"/>
      <c r="I448" s="398" t="s">
        <v>452</v>
      </c>
      <c r="J448" s="1791"/>
      <c r="K448" s="1184"/>
      <c r="L448" s="1780"/>
      <c r="M448" s="1782"/>
      <c r="N448" s="1775"/>
      <c r="O448" s="1777"/>
      <c r="P448" s="1778"/>
      <c r="Q448" s="989"/>
      <c r="R448" s="419"/>
      <c r="S448" s="419"/>
      <c r="T448" s="419"/>
    </row>
    <row r="449" spans="2:20" ht="19.5" customHeight="1">
      <c r="B449" s="1357"/>
      <c r="C449" s="1357"/>
      <c r="D449" s="1392" t="s">
        <v>267</v>
      </c>
      <c r="E449" s="438" t="s">
        <v>253</v>
      </c>
      <c r="F449" s="439" t="s">
        <v>420</v>
      </c>
      <c r="G449" s="1397">
        <f>LEN(LEFT('記入シート'!C255,L449))</f>
        <v>0</v>
      </c>
      <c r="H449" s="1398"/>
      <c r="I449" s="440" t="s">
        <v>452</v>
      </c>
      <c r="J449" s="1424" t="s">
        <v>352</v>
      </c>
      <c r="K449" s="1186">
        <f ca="1">CELL("row",'記入シート'!C255)</f>
        <v>255</v>
      </c>
      <c r="L449" s="1425">
        <f>$L$66</f>
        <v>1</v>
      </c>
      <c r="M449" s="1426">
        <f>M408</f>
        <v>132</v>
      </c>
      <c r="N449" s="1762" t="s">
        <v>10</v>
      </c>
      <c r="O449" s="1764">
        <f>IF(G449=0,0,1)</f>
        <v>0</v>
      </c>
      <c r="P449" s="1765" t="s">
        <v>453</v>
      </c>
      <c r="Q449" s="639">
        <f>IF(G410=0,"",CONCATENATE(LEFT('記入シート'!C255,1),REPT("　",O451)))</f>
      </c>
      <c r="R449" s="419"/>
      <c r="S449" s="419"/>
      <c r="T449" s="419"/>
    </row>
    <row r="450" spans="2:20" ht="19.5" customHeight="1">
      <c r="B450" s="1357"/>
      <c r="C450" s="1357"/>
      <c r="D450" s="1392"/>
      <c r="E450" s="414" t="s">
        <v>277</v>
      </c>
      <c r="F450" s="420" t="s">
        <v>460</v>
      </c>
      <c r="G450" s="1399">
        <f>$L$66-G449</f>
        <v>1</v>
      </c>
      <c r="H450" s="1400"/>
      <c r="I450" s="398" t="s">
        <v>452</v>
      </c>
      <c r="J450" s="1402"/>
      <c r="K450" s="1187"/>
      <c r="L450" s="1405"/>
      <c r="M450" s="1408"/>
      <c r="N450" s="1763"/>
      <c r="O450" s="1415"/>
      <c r="P450" s="1418"/>
      <c r="Q450" s="464"/>
      <c r="R450" s="419"/>
      <c r="S450" s="419"/>
      <c r="T450" s="419"/>
    </row>
    <row r="451" spans="2:20" ht="19.5" customHeight="1" thickBot="1">
      <c r="B451" s="1358"/>
      <c r="C451" s="1358"/>
      <c r="D451" s="1393"/>
      <c r="E451" s="442"/>
      <c r="F451" s="441" t="s">
        <v>158</v>
      </c>
      <c r="G451" s="385" t="s">
        <v>159</v>
      </c>
      <c r="H451" s="367">
        <f>WIDECHAR('記入シート'!C255)</f>
      </c>
      <c r="I451" s="387" t="s">
        <v>160</v>
      </c>
      <c r="J451" s="1772"/>
      <c r="K451" s="1189"/>
      <c r="L451" s="1773"/>
      <c r="M451" s="1789"/>
      <c r="N451" s="425" t="s">
        <v>148</v>
      </c>
      <c r="O451" s="776">
        <f>O435-O449</f>
        <v>0</v>
      </c>
      <c r="P451" s="426" t="s">
        <v>453</v>
      </c>
      <c r="Q451" s="465"/>
      <c r="R451" s="419"/>
      <c r="S451" s="419"/>
      <c r="T451" s="419"/>
    </row>
    <row r="452" spans="2:20" ht="19.5" customHeight="1" thickTop="1">
      <c r="B452" s="1390" t="s">
        <v>268</v>
      </c>
      <c r="C452" s="1390" t="s">
        <v>400</v>
      </c>
      <c r="D452" s="1396" t="s">
        <v>276</v>
      </c>
      <c r="E452" s="872" t="s">
        <v>437</v>
      </c>
      <c r="F452" s="873"/>
      <c r="G452" s="1928">
        <f>G408-G415-O408*L408</f>
        <v>2527</v>
      </c>
      <c r="H452" s="1929"/>
      <c r="I452" s="873" t="s">
        <v>452</v>
      </c>
      <c r="J452" s="1401" t="s">
        <v>351</v>
      </c>
      <c r="K452" s="1186">
        <f ca="1">CELL("row",'記入シート'!C260)</f>
        <v>260</v>
      </c>
      <c r="L452" s="1404">
        <f>$L$32</f>
        <v>19</v>
      </c>
      <c r="M452" s="1407">
        <f>G460/L452</f>
        <v>132</v>
      </c>
      <c r="N452" s="1410" t="s">
        <v>144</v>
      </c>
      <c r="O452" s="1413">
        <f>O479-G457</f>
        <v>0</v>
      </c>
      <c r="P452" s="1416" t="s">
        <v>453</v>
      </c>
      <c r="Q452" s="1263">
        <f>IF(G456=0,REPT("　",O452*L452),CONCATENATE("⑤　",'記入シート'!C260,REPT("　",O452*L452+ABS(G458))))</f>
      </c>
      <c r="R452" s="1264"/>
      <c r="S452" s="1264"/>
      <c r="T452" s="1265"/>
    </row>
    <row r="453" spans="2:20" ht="19.5" customHeight="1">
      <c r="B453" s="1357"/>
      <c r="C453" s="1357"/>
      <c r="D453" s="1392"/>
      <c r="E453" s="855" t="s">
        <v>273</v>
      </c>
      <c r="F453" s="846"/>
      <c r="G453" s="1434">
        <f>IF(G452&gt;2,G452-2,0)</f>
        <v>2525</v>
      </c>
      <c r="H453" s="1435"/>
      <c r="I453" s="846" t="s">
        <v>452</v>
      </c>
      <c r="J453" s="1402"/>
      <c r="K453" s="1187"/>
      <c r="L453" s="1405"/>
      <c r="M453" s="1408"/>
      <c r="N453" s="1411"/>
      <c r="O453" s="1414"/>
      <c r="P453" s="1417"/>
      <c r="Q453" s="1266"/>
      <c r="R453" s="1267"/>
      <c r="S453" s="1267"/>
      <c r="T453" s="1268"/>
    </row>
    <row r="454" spans="2:20" ht="19.5" customHeight="1">
      <c r="B454" s="1357"/>
      <c r="C454" s="1357"/>
      <c r="D454" s="1392"/>
      <c r="E454" s="856" t="s">
        <v>274</v>
      </c>
      <c r="F454" s="843"/>
      <c r="G454" s="1434">
        <f>LEN('記入シート'!C260)</f>
        <v>0</v>
      </c>
      <c r="H454" s="1435"/>
      <c r="I454" s="846" t="s">
        <v>452</v>
      </c>
      <c r="J454" s="1402"/>
      <c r="K454" s="1187"/>
      <c r="L454" s="1405"/>
      <c r="M454" s="1408"/>
      <c r="N454" s="1412"/>
      <c r="O454" s="1415"/>
      <c r="P454" s="1418"/>
      <c r="Q454" s="1266"/>
      <c r="R454" s="1267"/>
      <c r="S454" s="1267"/>
      <c r="T454" s="1268"/>
    </row>
    <row r="455" spans="2:20" ht="19.5" customHeight="1">
      <c r="B455" s="1357"/>
      <c r="C455" s="1357"/>
      <c r="D455" s="1392"/>
      <c r="E455" s="856" t="s">
        <v>167</v>
      </c>
      <c r="F455" s="843"/>
      <c r="G455" s="1755" t="str">
        <f>IF(G454&gt;G453,"OVER","INSIDE")</f>
        <v>INSIDE</v>
      </c>
      <c r="H455" s="1756"/>
      <c r="I455" s="1757"/>
      <c r="J455" s="1402"/>
      <c r="K455" s="1187"/>
      <c r="L455" s="1405"/>
      <c r="M455" s="1408"/>
      <c r="N455" s="410"/>
      <c r="O455" s="395"/>
      <c r="P455" s="396"/>
      <c r="Q455" s="1266"/>
      <c r="R455" s="1267"/>
      <c r="S455" s="1267"/>
      <c r="T455" s="1268"/>
    </row>
    <row r="456" spans="2:20" ht="19.5" customHeight="1">
      <c r="B456" s="1357"/>
      <c r="C456" s="1357"/>
      <c r="D456" s="1392"/>
      <c r="E456" s="408" t="s">
        <v>275</v>
      </c>
      <c r="F456" s="384"/>
      <c r="G456" s="1399">
        <f>IF(G454=0,0,IF(G455="OVER",0,G454+2))</f>
        <v>0</v>
      </c>
      <c r="H456" s="1400"/>
      <c r="I456" s="387" t="s">
        <v>452</v>
      </c>
      <c r="J456" s="1402"/>
      <c r="K456" s="1187"/>
      <c r="L456" s="1405"/>
      <c r="M456" s="1408"/>
      <c r="N456" s="410"/>
      <c r="O456" s="395"/>
      <c r="P456" s="396"/>
      <c r="Q456" s="1266"/>
      <c r="R456" s="1267"/>
      <c r="S456" s="1267"/>
      <c r="T456" s="1268"/>
    </row>
    <row r="457" spans="2:20" ht="19.5" customHeight="1">
      <c r="B457" s="1357"/>
      <c r="C457" s="1357"/>
      <c r="D457" s="1392"/>
      <c r="E457" s="894" t="s">
        <v>451</v>
      </c>
      <c r="F457" s="411"/>
      <c r="G457" s="1399">
        <f>ROUNDUP(G456/L452,0)</f>
        <v>0</v>
      </c>
      <c r="H457" s="1400"/>
      <c r="I457" s="387" t="s">
        <v>453</v>
      </c>
      <c r="J457" s="1402"/>
      <c r="K457" s="1187"/>
      <c r="L457" s="1405"/>
      <c r="M457" s="1408"/>
      <c r="N457" s="410"/>
      <c r="O457" s="395"/>
      <c r="P457" s="396"/>
      <c r="Q457" s="1266"/>
      <c r="R457" s="1267"/>
      <c r="S457" s="1267"/>
      <c r="T457" s="1268"/>
    </row>
    <row r="458" spans="2:20" ht="19.5" customHeight="1">
      <c r="B458" s="1357"/>
      <c r="C458" s="1357"/>
      <c r="D458" s="1392"/>
      <c r="E458" s="894" t="s">
        <v>419</v>
      </c>
      <c r="F458" s="411"/>
      <c r="G458" s="1399">
        <f>G456-G457*L452</f>
        <v>0</v>
      </c>
      <c r="H458" s="1400"/>
      <c r="I458" s="387" t="s">
        <v>452</v>
      </c>
      <c r="J458" s="1402"/>
      <c r="K458" s="1187"/>
      <c r="L458" s="1405"/>
      <c r="M458" s="1408"/>
      <c r="N458" s="410"/>
      <c r="O458" s="395"/>
      <c r="P458" s="396"/>
      <c r="Q458" s="1266"/>
      <c r="R458" s="1267"/>
      <c r="S458" s="1267"/>
      <c r="T458" s="1268"/>
    </row>
    <row r="459" spans="2:20" ht="19.5" customHeight="1" thickBot="1">
      <c r="B459" s="1357"/>
      <c r="C459" s="1395"/>
      <c r="D459" s="1394"/>
      <c r="E459" s="895" t="s">
        <v>423</v>
      </c>
      <c r="F459" s="420"/>
      <c r="G459" s="1429">
        <f>G457*L452</f>
        <v>0</v>
      </c>
      <c r="H459" s="1430"/>
      <c r="I459" s="398" t="s">
        <v>452</v>
      </c>
      <c r="J459" s="1402"/>
      <c r="K459" s="1187"/>
      <c r="L459" s="1405"/>
      <c r="M459" s="1408"/>
      <c r="N459" s="410"/>
      <c r="O459" s="395"/>
      <c r="P459" s="396"/>
      <c r="Q459" s="1266"/>
      <c r="R459" s="1267"/>
      <c r="S459" s="1267"/>
      <c r="T459" s="1268"/>
    </row>
    <row r="460" spans="2:20" ht="19.5" customHeight="1">
      <c r="B460" s="1357" t="s">
        <v>268</v>
      </c>
      <c r="C460" s="1389" t="s">
        <v>332</v>
      </c>
      <c r="D460" s="1391" t="s">
        <v>276</v>
      </c>
      <c r="E460" s="405" t="s">
        <v>437</v>
      </c>
      <c r="F460" s="401"/>
      <c r="G460" s="1397">
        <f>G416-G415-O408*L408</f>
        <v>2508</v>
      </c>
      <c r="H460" s="1398"/>
      <c r="I460" s="401" t="s">
        <v>452</v>
      </c>
      <c r="J460" s="1402"/>
      <c r="K460" s="1187"/>
      <c r="L460" s="1405"/>
      <c r="M460" s="1408"/>
      <c r="N460" s="410"/>
      <c r="O460" s="395"/>
      <c r="P460" s="396"/>
      <c r="Q460" s="1266"/>
      <c r="R460" s="1267"/>
      <c r="S460" s="1267"/>
      <c r="T460" s="1268"/>
    </row>
    <row r="461" spans="2:20" ht="19.5" customHeight="1">
      <c r="B461" s="1357"/>
      <c r="C461" s="1357"/>
      <c r="D461" s="1392"/>
      <c r="E461" s="406" t="s">
        <v>273</v>
      </c>
      <c r="F461" s="387"/>
      <c r="G461" s="1206">
        <f>IF(G460&gt;2,G460-2,0)</f>
        <v>2506</v>
      </c>
      <c r="H461" s="1207"/>
      <c r="I461" s="796" t="s">
        <v>452</v>
      </c>
      <c r="J461" s="1402"/>
      <c r="K461" s="1187"/>
      <c r="L461" s="1405"/>
      <c r="M461" s="1408"/>
      <c r="N461" s="410"/>
      <c r="O461" s="395"/>
      <c r="P461" s="396"/>
      <c r="Q461" s="1266"/>
      <c r="R461" s="1267"/>
      <c r="S461" s="1267"/>
      <c r="T461" s="1268"/>
    </row>
    <row r="462" spans="2:20" ht="19.5" customHeight="1">
      <c r="B462" s="1357"/>
      <c r="C462" s="1357"/>
      <c r="D462" s="1392"/>
      <c r="E462" s="408" t="s">
        <v>274</v>
      </c>
      <c r="F462" s="384"/>
      <c r="G462" s="1399">
        <f>LEN('記入シート'!C260)</f>
        <v>0</v>
      </c>
      <c r="H462" s="1400"/>
      <c r="I462" s="387" t="s">
        <v>452</v>
      </c>
      <c r="J462" s="1402"/>
      <c r="K462" s="1187"/>
      <c r="L462" s="1405"/>
      <c r="M462" s="1408"/>
      <c r="N462" s="410"/>
      <c r="O462" s="395"/>
      <c r="P462" s="396"/>
      <c r="Q462" s="1266"/>
      <c r="R462" s="1267"/>
      <c r="S462" s="1267"/>
      <c r="T462" s="1268"/>
    </row>
    <row r="463" spans="2:20" ht="19.5" customHeight="1" thickBot="1">
      <c r="B463" s="1357"/>
      <c r="C463" s="1395"/>
      <c r="D463" s="1394"/>
      <c r="E463" s="852" t="s">
        <v>167</v>
      </c>
      <c r="F463" s="853"/>
      <c r="G463" s="1110" t="str">
        <f>IF(G462&gt;G461,"OVER","INSIDE")</f>
        <v>INSIDE</v>
      </c>
      <c r="H463" s="1111"/>
      <c r="I463" s="1112"/>
      <c r="J463" s="1403"/>
      <c r="K463" s="1188"/>
      <c r="L463" s="1406"/>
      <c r="M463" s="1409"/>
      <c r="N463" s="413"/>
      <c r="O463" s="403"/>
      <c r="P463" s="404"/>
      <c r="Q463" s="1269"/>
      <c r="R463" s="1270"/>
      <c r="S463" s="1270"/>
      <c r="T463" s="1271"/>
    </row>
    <row r="464" spans="2:20" ht="19.5" customHeight="1">
      <c r="B464" s="1357" t="s">
        <v>268</v>
      </c>
      <c r="C464" s="1389" t="s">
        <v>400</v>
      </c>
      <c r="D464" s="1391" t="s">
        <v>276</v>
      </c>
      <c r="E464" s="667"/>
      <c r="F464" s="874" t="s">
        <v>455</v>
      </c>
      <c r="G464" s="1397">
        <f>LEN(LEFT('記入シート'!C264,L464))</f>
        <v>0</v>
      </c>
      <c r="H464" s="1398"/>
      <c r="I464" s="440" t="s">
        <v>452</v>
      </c>
      <c r="J464" s="1772" t="s">
        <v>352</v>
      </c>
      <c r="K464" s="1186">
        <f ca="1">CELL("row",'記入シート'!C264)</f>
        <v>264</v>
      </c>
      <c r="L464" s="1425">
        <f>$L$40</f>
        <v>6</v>
      </c>
      <c r="M464" s="1426">
        <f>M452</f>
        <v>132</v>
      </c>
      <c r="N464" s="1787" t="s">
        <v>474</v>
      </c>
      <c r="O464" s="1414">
        <f>SUM(G464:H471)</f>
        <v>0</v>
      </c>
      <c r="P464" s="1798" t="s">
        <v>452</v>
      </c>
      <c r="Q464" s="1554">
        <f>IF(O469=0,REPT("　",O479*L464),CONCATENATE(LEFT('記入シート'!C264,L464),REPT("　",G465),LEFT('記入シート'!C265,L464),REPT("　",G467),LEFT('記入シート'!C266,L464),REPT("　",G469),LEFT('記入シート'!C267,L464),REPT("　",G471),REPT("　",L464*O471)))</f>
      </c>
      <c r="R464" s="313"/>
      <c r="S464" s="313"/>
      <c r="T464" s="313"/>
    </row>
    <row r="465" spans="2:20" ht="19.5" customHeight="1">
      <c r="B465" s="1357"/>
      <c r="C465" s="1357"/>
      <c r="D465" s="1392"/>
      <c r="E465" s="667"/>
      <c r="F465" s="779" t="s">
        <v>458</v>
      </c>
      <c r="G465" s="1399">
        <f>IF(G464=0,0,$L$40-G464)</f>
        <v>0</v>
      </c>
      <c r="H465" s="1400"/>
      <c r="I465" s="398" t="s">
        <v>452</v>
      </c>
      <c r="J465" s="1770"/>
      <c r="K465" s="1187"/>
      <c r="L465" s="1405"/>
      <c r="M465" s="1408"/>
      <c r="N465" s="1787"/>
      <c r="O465" s="1414"/>
      <c r="P465" s="1798"/>
      <c r="Q465" s="1554"/>
      <c r="R465" s="313"/>
      <c r="S465" s="313"/>
      <c r="T465" s="313"/>
    </row>
    <row r="466" spans="2:20" ht="19.5" customHeight="1">
      <c r="B466" s="1357"/>
      <c r="C466" s="1357"/>
      <c r="D466" s="1392"/>
      <c r="E466" s="667"/>
      <c r="F466" s="779" t="s">
        <v>456</v>
      </c>
      <c r="G466" s="1399">
        <f>LEN(LEFT('記入シート'!C265,L464))</f>
        <v>0</v>
      </c>
      <c r="H466" s="1400"/>
      <c r="I466" s="398" t="s">
        <v>452</v>
      </c>
      <c r="J466" s="1770" t="s">
        <v>352</v>
      </c>
      <c r="K466" s="1185">
        <f ca="1">CELL("row",'記入シート'!C265)</f>
        <v>265</v>
      </c>
      <c r="L466" s="1405"/>
      <c r="M466" s="1408"/>
      <c r="N466" s="1787"/>
      <c r="O466" s="1414"/>
      <c r="P466" s="1798"/>
      <c r="Q466" s="1554"/>
      <c r="R466" s="313"/>
      <c r="S466" s="313"/>
      <c r="T466" s="313"/>
    </row>
    <row r="467" spans="2:20" ht="19.5" customHeight="1">
      <c r="B467" s="1357"/>
      <c r="C467" s="1357"/>
      <c r="D467" s="1392"/>
      <c r="E467" s="414" t="s">
        <v>401</v>
      </c>
      <c r="F467" s="779" t="s">
        <v>459</v>
      </c>
      <c r="G467" s="1399">
        <f>IF(G466=0,0,$L$40-G466)</f>
        <v>0</v>
      </c>
      <c r="H467" s="1400"/>
      <c r="I467" s="398" t="s">
        <v>452</v>
      </c>
      <c r="J467" s="1770"/>
      <c r="K467" s="1185"/>
      <c r="L467" s="1405"/>
      <c r="M467" s="1408"/>
      <c r="N467" s="1787"/>
      <c r="O467" s="1414"/>
      <c r="P467" s="1798"/>
      <c r="Q467" s="1549"/>
      <c r="R467" s="313"/>
      <c r="S467" s="313"/>
      <c r="T467" s="313"/>
    </row>
    <row r="468" spans="2:20" ht="19.5" customHeight="1">
      <c r="B468" s="1357"/>
      <c r="C468" s="1357"/>
      <c r="D468" s="1392"/>
      <c r="E468" s="414" t="s">
        <v>282</v>
      </c>
      <c r="F468" s="441" t="s">
        <v>475</v>
      </c>
      <c r="G468" s="1399">
        <f>LEN(LEFT('記入シート'!C266,L464))</f>
        <v>0</v>
      </c>
      <c r="H468" s="1400"/>
      <c r="I468" s="398" t="s">
        <v>452</v>
      </c>
      <c r="J468" s="1790" t="s">
        <v>352</v>
      </c>
      <c r="K468" s="1185">
        <f ca="1">CELL("row",'記入シート'!C266)</f>
        <v>266</v>
      </c>
      <c r="L468" s="1405"/>
      <c r="M468" s="1408"/>
      <c r="N468" s="1788"/>
      <c r="O468" s="1415"/>
      <c r="P468" s="1799"/>
      <c r="Q468" s="320"/>
      <c r="R468" s="313"/>
      <c r="S468" s="313"/>
      <c r="T468" s="313"/>
    </row>
    <row r="469" spans="2:20" ht="19.5" customHeight="1">
      <c r="B469" s="1357"/>
      <c r="C469" s="1357"/>
      <c r="D469" s="1392"/>
      <c r="E469" s="667"/>
      <c r="F469" s="441" t="s">
        <v>476</v>
      </c>
      <c r="G469" s="1399">
        <f>IF(G468=0,0,$L$40-G468)</f>
        <v>0</v>
      </c>
      <c r="H469" s="1400"/>
      <c r="I469" s="398" t="s">
        <v>452</v>
      </c>
      <c r="J469" s="1772"/>
      <c r="K469" s="1185"/>
      <c r="L469" s="1405"/>
      <c r="M469" s="1408"/>
      <c r="N469" s="1774" t="s">
        <v>480</v>
      </c>
      <c r="O469" s="1776">
        <f>O464/$L$40</f>
        <v>0</v>
      </c>
      <c r="P469" s="1769" t="s">
        <v>453</v>
      </c>
      <c r="Q469" s="320"/>
      <c r="R469" s="313"/>
      <c r="S469" s="313"/>
      <c r="T469" s="313"/>
    </row>
    <row r="470" spans="2:20" ht="19.5" customHeight="1">
      <c r="B470" s="1357"/>
      <c r="C470" s="1357"/>
      <c r="D470" s="1392"/>
      <c r="E470" s="667"/>
      <c r="F470" s="441" t="s">
        <v>477</v>
      </c>
      <c r="G470" s="1399">
        <f>LEN(LEFT('記入シート'!C267,L464))</f>
        <v>0</v>
      </c>
      <c r="H470" s="1400"/>
      <c r="I470" s="398" t="s">
        <v>452</v>
      </c>
      <c r="J470" s="1790" t="s">
        <v>352</v>
      </c>
      <c r="K470" s="1185">
        <f ca="1">CELL("row",'記入シート'!C267)</f>
        <v>267</v>
      </c>
      <c r="L470" s="1405"/>
      <c r="M470" s="1408"/>
      <c r="N470" s="1412"/>
      <c r="O470" s="1415"/>
      <c r="P470" s="1418"/>
      <c r="Q470" s="995"/>
      <c r="R470" s="313"/>
      <c r="S470" s="313"/>
      <c r="T470" s="313"/>
    </row>
    <row r="471" spans="2:20" ht="19.5" customHeight="1">
      <c r="B471" s="1357"/>
      <c r="C471" s="1357"/>
      <c r="D471" s="1392"/>
      <c r="E471" s="667"/>
      <c r="F471" s="441" t="s">
        <v>478</v>
      </c>
      <c r="G471" s="1399">
        <f>IF(G470=0,0,$L$40-G470)</f>
        <v>0</v>
      </c>
      <c r="H471" s="1400"/>
      <c r="I471" s="387" t="s">
        <v>452</v>
      </c>
      <c r="J471" s="1772"/>
      <c r="K471" s="1185"/>
      <c r="L471" s="1773"/>
      <c r="M471" s="1789"/>
      <c r="N471" s="425" t="s">
        <v>252</v>
      </c>
      <c r="O471" s="776">
        <f>O479-O469</f>
        <v>0</v>
      </c>
      <c r="P471" s="426" t="s">
        <v>453</v>
      </c>
      <c r="Q471" s="995"/>
      <c r="R471" s="313"/>
      <c r="S471" s="313"/>
      <c r="T471" s="313"/>
    </row>
    <row r="472" spans="2:20" ht="19.5" customHeight="1">
      <c r="B472" s="1357"/>
      <c r="C472" s="1357"/>
      <c r="D472" s="1392"/>
      <c r="E472" s="442"/>
      <c r="F472" s="416"/>
      <c r="G472" s="416"/>
      <c r="H472" s="417"/>
      <c r="I472" s="443"/>
      <c r="J472" s="1011"/>
      <c r="K472" s="1022"/>
      <c r="L472" s="444"/>
      <c r="M472" s="445"/>
      <c r="N472" s="1795" t="s">
        <v>124</v>
      </c>
      <c r="O472" s="1620" t="str">
        <f>IF(O469&gt;G460/L452,"OVER","INSIDE")</f>
        <v>INSIDE</v>
      </c>
      <c r="P472" s="1621"/>
      <c r="Q472" s="424"/>
      <c r="R472" s="419"/>
      <c r="S472" s="419"/>
      <c r="T472" s="419"/>
    </row>
    <row r="473" spans="2:20" ht="19.5" customHeight="1" thickBot="1">
      <c r="B473" s="1357"/>
      <c r="C473" s="1357"/>
      <c r="D473" s="1392"/>
      <c r="E473" s="432"/>
      <c r="F473" s="433"/>
      <c r="G473" s="433"/>
      <c r="H473" s="434"/>
      <c r="I473" s="435"/>
      <c r="J473" s="1010"/>
      <c r="K473" s="1023"/>
      <c r="L473" s="436"/>
      <c r="M473" s="437"/>
      <c r="N473" s="1796"/>
      <c r="O473" s="1622"/>
      <c r="P473" s="1623"/>
      <c r="Q473" s="424"/>
      <c r="R473" s="419"/>
      <c r="S473" s="419"/>
      <c r="T473" s="419"/>
    </row>
    <row r="474" spans="2:20" ht="19.5" customHeight="1">
      <c r="B474" s="1357" t="s">
        <v>268</v>
      </c>
      <c r="C474" s="1357" t="s">
        <v>400</v>
      </c>
      <c r="D474" s="1392" t="s">
        <v>276</v>
      </c>
      <c r="E474" s="666"/>
      <c r="F474" s="439" t="s">
        <v>455</v>
      </c>
      <c r="G474" s="1397">
        <f>LEN(LEFT('記入シート'!C270,L474))</f>
        <v>0</v>
      </c>
      <c r="H474" s="1398"/>
      <c r="I474" s="440" t="s">
        <v>452</v>
      </c>
      <c r="J474" s="1771" t="s">
        <v>352</v>
      </c>
      <c r="K474" s="1186">
        <f ca="1">CELL("row",'記入シート'!C270)</f>
        <v>270</v>
      </c>
      <c r="L474" s="1425">
        <f>$L$49</f>
        <v>6</v>
      </c>
      <c r="M474" s="1781">
        <f>M452</f>
        <v>132</v>
      </c>
      <c r="N474" s="1786" t="s">
        <v>484</v>
      </c>
      <c r="O474" s="1764">
        <f>SUM(G474:H477)</f>
        <v>0</v>
      </c>
      <c r="P474" s="1765" t="s">
        <v>452</v>
      </c>
      <c r="Q474" s="1548">
        <f>IF(O477=0,REPT("　",O479*L474),CONCATENATE(LEFT('記入シート'!C270,L474),REPT("　",G475),LEFT('記入シート'!C271,L474),REPT("　",G477),REPT("　",L474*O482)))</f>
      </c>
      <c r="R474" s="419"/>
      <c r="S474" s="419"/>
      <c r="T474" s="419"/>
    </row>
    <row r="475" spans="2:20" ht="19.5" customHeight="1">
      <c r="B475" s="1357"/>
      <c r="C475" s="1357"/>
      <c r="D475" s="1392"/>
      <c r="E475" s="414" t="s">
        <v>402</v>
      </c>
      <c r="F475" s="420" t="s">
        <v>458</v>
      </c>
      <c r="G475" s="1399">
        <f>IF(G474=0,0,$L$49-G474)</f>
        <v>0</v>
      </c>
      <c r="H475" s="1400"/>
      <c r="I475" s="398" t="s">
        <v>452</v>
      </c>
      <c r="J475" s="1770"/>
      <c r="K475" s="1187"/>
      <c r="L475" s="1405"/>
      <c r="M475" s="1783"/>
      <c r="N475" s="1787"/>
      <c r="O475" s="1414"/>
      <c r="P475" s="1417"/>
      <c r="Q475" s="1549"/>
      <c r="R475" s="419"/>
      <c r="S475" s="419"/>
      <c r="T475" s="419"/>
    </row>
    <row r="476" spans="2:20" ht="19.5" customHeight="1">
      <c r="B476" s="1357"/>
      <c r="C476" s="1357"/>
      <c r="D476" s="1392"/>
      <c r="E476" s="414" t="s">
        <v>282</v>
      </c>
      <c r="F476" s="420" t="s">
        <v>456</v>
      </c>
      <c r="G476" s="1399">
        <f>LEN(LEFT('記入シート'!C271,L474))</f>
        <v>0</v>
      </c>
      <c r="H476" s="1400"/>
      <c r="I476" s="398" t="s">
        <v>452</v>
      </c>
      <c r="J476" s="1790" t="s">
        <v>352</v>
      </c>
      <c r="K476" s="1183">
        <f ca="1">CELL("row",'記入シート'!C271)</f>
        <v>271</v>
      </c>
      <c r="L476" s="1405"/>
      <c r="M476" s="1783"/>
      <c r="N476" s="1788"/>
      <c r="O476" s="1415"/>
      <c r="P476" s="1418"/>
      <c r="Q476" s="424"/>
      <c r="R476" s="419"/>
      <c r="S476" s="419"/>
      <c r="T476" s="419"/>
    </row>
    <row r="477" spans="2:20" ht="19.5" customHeight="1">
      <c r="B477" s="1357"/>
      <c r="C477" s="1357"/>
      <c r="D477" s="1392"/>
      <c r="E477" s="667"/>
      <c r="F477" s="411" t="s">
        <v>459</v>
      </c>
      <c r="G477" s="1399">
        <f>IF(G476=0,0,$L$49-G476)</f>
        <v>0</v>
      </c>
      <c r="H477" s="1400"/>
      <c r="I477" s="387" t="s">
        <v>452</v>
      </c>
      <c r="J477" s="1772"/>
      <c r="K477" s="1182"/>
      <c r="L477" s="1773"/>
      <c r="M477" s="1783"/>
      <c r="N477" s="1774" t="s">
        <v>479</v>
      </c>
      <c r="O477" s="1776">
        <f>O474/$L$49</f>
        <v>0</v>
      </c>
      <c r="P477" s="1769" t="s">
        <v>453</v>
      </c>
      <c r="Q477" s="424"/>
      <c r="R477" s="419"/>
      <c r="S477" s="419"/>
      <c r="T477" s="419"/>
    </row>
    <row r="478" spans="2:20" ht="19.5" customHeight="1">
      <c r="B478" s="1357"/>
      <c r="C478" s="1357"/>
      <c r="D478" s="1392"/>
      <c r="E478" s="442"/>
      <c r="F478" s="421"/>
      <c r="G478" s="421"/>
      <c r="H478" s="422"/>
      <c r="I478" s="429"/>
      <c r="J478" s="1009"/>
      <c r="K478" s="429"/>
      <c r="L478" s="430"/>
      <c r="M478" s="430"/>
      <c r="N478" s="1411"/>
      <c r="O478" s="1414"/>
      <c r="P478" s="1417"/>
      <c r="Q478" s="424"/>
      <c r="R478" s="419"/>
      <c r="S478" s="419"/>
      <c r="T478" s="419"/>
    </row>
    <row r="479" spans="2:20" ht="19.5" customHeight="1">
      <c r="B479" s="1357"/>
      <c r="C479" s="1357"/>
      <c r="D479" s="1392"/>
      <c r="E479" s="442"/>
      <c r="F479" s="416"/>
      <c r="G479" s="416"/>
      <c r="H479" s="417"/>
      <c r="I479" s="443"/>
      <c r="J479" s="1011"/>
      <c r="K479" s="443"/>
      <c r="L479" s="444"/>
      <c r="M479" s="444"/>
      <c r="N479" s="1774" t="s">
        <v>483</v>
      </c>
      <c r="O479" s="1776">
        <f>MAX(G457,O469,O477)</f>
        <v>0</v>
      </c>
      <c r="P479" s="1769" t="s">
        <v>453</v>
      </c>
      <c r="Q479" s="424"/>
      <c r="R479" s="419"/>
      <c r="S479" s="419"/>
      <c r="T479" s="419"/>
    </row>
    <row r="480" spans="2:20" ht="19.5" customHeight="1">
      <c r="B480" s="1357"/>
      <c r="C480" s="1357"/>
      <c r="D480" s="1392"/>
      <c r="E480" s="442"/>
      <c r="F480" s="416"/>
      <c r="G480" s="416"/>
      <c r="H480" s="417"/>
      <c r="I480" s="443"/>
      <c r="J480" s="1011"/>
      <c r="K480" s="443"/>
      <c r="L480" s="444"/>
      <c r="M480" s="444"/>
      <c r="N480" s="1411"/>
      <c r="O480" s="1414"/>
      <c r="P480" s="1417"/>
      <c r="Q480" s="424"/>
      <c r="R480" s="419"/>
      <c r="S480" s="419"/>
      <c r="T480" s="419"/>
    </row>
    <row r="481" spans="2:20" ht="19.5" customHeight="1">
      <c r="B481" s="1357"/>
      <c r="C481" s="1357"/>
      <c r="D481" s="1392"/>
      <c r="E481" s="442"/>
      <c r="F481" s="416"/>
      <c r="G481" s="416"/>
      <c r="H481" s="417"/>
      <c r="I481" s="443"/>
      <c r="J481" s="1011"/>
      <c r="K481" s="443"/>
      <c r="L481" s="444"/>
      <c r="M481" s="444"/>
      <c r="N481" s="1412"/>
      <c r="O481" s="1415"/>
      <c r="P481" s="1418"/>
      <c r="Q481" s="424"/>
      <c r="R481" s="419"/>
      <c r="S481" s="419"/>
      <c r="T481" s="419"/>
    </row>
    <row r="482" spans="2:20" ht="19.5" customHeight="1">
      <c r="B482" s="1357"/>
      <c r="C482" s="1357"/>
      <c r="D482" s="1392"/>
      <c r="E482" s="442"/>
      <c r="F482" s="416"/>
      <c r="G482" s="416"/>
      <c r="H482" s="417"/>
      <c r="I482" s="443"/>
      <c r="J482" s="1011"/>
      <c r="K482" s="443"/>
      <c r="L482" s="444"/>
      <c r="M482" s="444"/>
      <c r="N482" s="425" t="s">
        <v>145</v>
      </c>
      <c r="O482" s="776">
        <f>O479-O477</f>
        <v>0</v>
      </c>
      <c r="P482" s="426" t="s">
        <v>453</v>
      </c>
      <c r="Q482" s="424"/>
      <c r="R482" s="419"/>
      <c r="S482" s="419"/>
      <c r="T482" s="419"/>
    </row>
    <row r="483" spans="2:20" ht="19.5" customHeight="1">
      <c r="B483" s="1357"/>
      <c r="C483" s="1357"/>
      <c r="D483" s="1392"/>
      <c r="E483" s="442"/>
      <c r="F483" s="416"/>
      <c r="G483" s="416"/>
      <c r="H483" s="417"/>
      <c r="I483" s="443"/>
      <c r="J483" s="1011"/>
      <c r="K483" s="443"/>
      <c r="L483" s="444"/>
      <c r="M483" s="445"/>
      <c r="N483" s="1795" t="s">
        <v>125</v>
      </c>
      <c r="O483" s="1620" t="str">
        <f>IF(O477&gt;G460/L452,"OVER","INSIDE")</f>
        <v>INSIDE</v>
      </c>
      <c r="P483" s="1621"/>
      <c r="Q483" s="424"/>
      <c r="R483" s="419"/>
      <c r="S483" s="419"/>
      <c r="T483" s="419"/>
    </row>
    <row r="484" spans="2:20" ht="19.5" customHeight="1" thickBot="1">
      <c r="B484" s="1357"/>
      <c r="C484" s="1357"/>
      <c r="D484" s="1392"/>
      <c r="E484" s="432"/>
      <c r="F484" s="433"/>
      <c r="G484" s="433"/>
      <c r="H484" s="434"/>
      <c r="I484" s="435"/>
      <c r="J484" s="1010"/>
      <c r="K484" s="443"/>
      <c r="L484" s="436"/>
      <c r="M484" s="437"/>
      <c r="N484" s="1796"/>
      <c r="O484" s="1622"/>
      <c r="P484" s="1623"/>
      <c r="Q484" s="424"/>
      <c r="R484" s="419"/>
      <c r="S484" s="419"/>
      <c r="T484" s="419"/>
    </row>
    <row r="485" spans="2:20" ht="19.5" customHeight="1">
      <c r="B485" s="1357" t="s">
        <v>268</v>
      </c>
      <c r="C485" s="1357" t="s">
        <v>400</v>
      </c>
      <c r="D485" s="1392" t="s">
        <v>276</v>
      </c>
      <c r="E485" s="666"/>
      <c r="F485" s="446" t="s">
        <v>1</v>
      </c>
      <c r="G485" s="1397">
        <f>LEN(LEFT('記入シート'!D274,2))</f>
        <v>0</v>
      </c>
      <c r="H485" s="1398"/>
      <c r="I485" s="440" t="s">
        <v>452</v>
      </c>
      <c r="J485" s="1771" t="s">
        <v>353</v>
      </c>
      <c r="K485" s="1181">
        <f ca="1">CELL("row",'記入シート'!D274)</f>
        <v>274</v>
      </c>
      <c r="L485" s="1784">
        <v>2</v>
      </c>
      <c r="M485" s="1781">
        <f>M452</f>
        <v>132</v>
      </c>
      <c r="N485" s="1762" t="s">
        <v>8</v>
      </c>
      <c r="O485" s="1764">
        <f>IF(G485=0,0,1)</f>
        <v>0</v>
      </c>
      <c r="P485" s="1765" t="s">
        <v>453</v>
      </c>
      <c r="Q485" s="503" t="s">
        <v>6</v>
      </c>
      <c r="R485" s="419"/>
      <c r="S485" s="419"/>
      <c r="T485" s="419"/>
    </row>
    <row r="486" spans="2:20" ht="19.5" customHeight="1">
      <c r="B486" s="1357"/>
      <c r="C486" s="1357"/>
      <c r="D486" s="1392"/>
      <c r="E486" s="667"/>
      <c r="F486" s="420" t="s">
        <v>2</v>
      </c>
      <c r="G486" s="1399">
        <f>$L$58-G485</f>
        <v>2</v>
      </c>
      <c r="H486" s="1400"/>
      <c r="I486" s="398" t="s">
        <v>452</v>
      </c>
      <c r="J486" s="1770"/>
      <c r="K486" s="1182"/>
      <c r="L486" s="1779"/>
      <c r="M486" s="1782"/>
      <c r="N486" s="1763"/>
      <c r="O486" s="1415"/>
      <c r="P486" s="1418"/>
      <c r="Q486" s="986">
        <f>IF(G456=0,"",IF(O485=0,REPT("　",5*O487),CONCATENATE(REPT("　",G486),LEFT('記入シート'!D274,L485),"／",REPT("　",G488),LEFT('記入シート'!G274,L487),REPT("　",5*O487))))</f>
      </c>
      <c r="R486" s="419"/>
      <c r="S486" s="419"/>
      <c r="T486" s="419"/>
    </row>
    <row r="487" spans="2:20" ht="19.5" customHeight="1">
      <c r="B487" s="1357"/>
      <c r="C487" s="1357"/>
      <c r="D487" s="1392"/>
      <c r="E487" s="667"/>
      <c r="F487" s="420" t="s">
        <v>3</v>
      </c>
      <c r="G487" s="1399">
        <f>LEN(LEFT('記入シート'!G274,2))</f>
        <v>0</v>
      </c>
      <c r="H487" s="1400"/>
      <c r="I487" s="398" t="s">
        <v>452</v>
      </c>
      <c r="J487" s="1770" t="s">
        <v>354</v>
      </c>
      <c r="K487" s="1183">
        <f ca="1">CELL("row",'記入シート'!G274)</f>
        <v>274</v>
      </c>
      <c r="L487" s="1779">
        <v>2</v>
      </c>
      <c r="M487" s="1783">
        <f>M452</f>
        <v>132</v>
      </c>
      <c r="N487" s="1774" t="s">
        <v>147</v>
      </c>
      <c r="O487" s="1776">
        <f>O479-O485</f>
        <v>0</v>
      </c>
      <c r="P487" s="1769" t="s">
        <v>453</v>
      </c>
      <c r="Q487" s="987"/>
      <c r="R487" s="419"/>
      <c r="S487" s="419"/>
      <c r="T487" s="419"/>
    </row>
    <row r="488" spans="2:20" ht="19.5" customHeight="1">
      <c r="B488" s="1357"/>
      <c r="C488" s="1357"/>
      <c r="D488" s="1392"/>
      <c r="E488" s="414" t="s">
        <v>403</v>
      </c>
      <c r="F488" s="420" t="s">
        <v>461</v>
      </c>
      <c r="G488" s="1399">
        <f>$L$60-G487</f>
        <v>2</v>
      </c>
      <c r="H488" s="1400"/>
      <c r="I488" s="398" t="s">
        <v>452</v>
      </c>
      <c r="J488" s="1770"/>
      <c r="K488" s="1182"/>
      <c r="L488" s="1779"/>
      <c r="M488" s="1783"/>
      <c r="N488" s="1412"/>
      <c r="O488" s="1415"/>
      <c r="P488" s="1418"/>
      <c r="Q488" s="988"/>
      <c r="R488" s="419"/>
      <c r="S488" s="419"/>
      <c r="T488" s="419"/>
    </row>
    <row r="489" spans="2:20" ht="19.5" customHeight="1">
      <c r="B489" s="1357"/>
      <c r="C489" s="1357"/>
      <c r="D489" s="1392"/>
      <c r="E489" s="414" t="s">
        <v>282</v>
      </c>
      <c r="F489" s="420" t="s">
        <v>4</v>
      </c>
      <c r="G489" s="1399">
        <f>LEN(LEFT('記入シート'!N274,2))</f>
        <v>0</v>
      </c>
      <c r="H489" s="1400"/>
      <c r="I489" s="398" t="s">
        <v>452</v>
      </c>
      <c r="J489" s="1770" t="s">
        <v>355</v>
      </c>
      <c r="K489" s="1183">
        <f ca="1">CELL("row",'記入シート'!N274)</f>
        <v>274</v>
      </c>
      <c r="L489" s="1779">
        <v>2</v>
      </c>
      <c r="M489" s="1783">
        <f>M452</f>
        <v>132</v>
      </c>
      <c r="N489" s="1785" t="s">
        <v>178</v>
      </c>
      <c r="O489" s="1776">
        <f>IF(G489=0,0,1)</f>
        <v>0</v>
      </c>
      <c r="P489" s="1769" t="s">
        <v>453</v>
      </c>
      <c r="Q489" s="503" t="s">
        <v>7</v>
      </c>
      <c r="R489" s="419"/>
      <c r="S489" s="419"/>
      <c r="T489" s="419"/>
    </row>
    <row r="490" spans="2:20" ht="19.5" customHeight="1">
      <c r="B490" s="1357"/>
      <c r="C490" s="1357"/>
      <c r="D490" s="1392"/>
      <c r="E490" s="667"/>
      <c r="F490" s="420" t="s">
        <v>5</v>
      </c>
      <c r="G490" s="1399">
        <f>$L$62-G489</f>
        <v>2</v>
      </c>
      <c r="H490" s="1400"/>
      <c r="I490" s="398" t="s">
        <v>452</v>
      </c>
      <c r="J490" s="1770"/>
      <c r="K490" s="1182"/>
      <c r="L490" s="1779"/>
      <c r="M490" s="1783"/>
      <c r="N490" s="1763"/>
      <c r="O490" s="1415"/>
      <c r="P490" s="1418"/>
      <c r="Q490" s="986">
        <f>IF(G456=0,"",IF(O489=0,REPT("　",5*O491),CONCATENATE(REPT("　",G490),LEFT('記入シート'!N274,L489),"／",REPT("　",G492),LEFT('記入シート'!Q274,L491),REPT("　",5*O491))))</f>
      </c>
      <c r="R490" s="419"/>
      <c r="S490" s="419"/>
      <c r="T490" s="419"/>
    </row>
    <row r="491" spans="2:20" ht="19.5" customHeight="1">
      <c r="B491" s="1357"/>
      <c r="C491" s="1357"/>
      <c r="D491" s="1392"/>
      <c r="E491" s="667"/>
      <c r="F491" s="420" t="s">
        <v>462</v>
      </c>
      <c r="G491" s="1399">
        <f>LEN(LEFT('記入シート'!Q274,2))</f>
        <v>0</v>
      </c>
      <c r="H491" s="1400"/>
      <c r="I491" s="398" t="s">
        <v>452</v>
      </c>
      <c r="J491" s="1770" t="s">
        <v>356</v>
      </c>
      <c r="K491" s="1183">
        <f ca="1">CELL("row",'記入シート'!Q274)</f>
        <v>274</v>
      </c>
      <c r="L491" s="1779">
        <v>2</v>
      </c>
      <c r="M491" s="1783">
        <f>M452</f>
        <v>132</v>
      </c>
      <c r="N491" s="1774" t="s">
        <v>180</v>
      </c>
      <c r="O491" s="1776">
        <f>O479-O489</f>
        <v>0</v>
      </c>
      <c r="P491" s="1769" t="s">
        <v>453</v>
      </c>
      <c r="Q491" s="987"/>
      <c r="R491" s="419"/>
      <c r="S491" s="419"/>
      <c r="T491" s="419"/>
    </row>
    <row r="492" spans="2:20" ht="19.5" customHeight="1" thickBot="1">
      <c r="B492" s="1357"/>
      <c r="C492" s="1357"/>
      <c r="D492" s="1392"/>
      <c r="E492" s="668"/>
      <c r="F492" s="420" t="s">
        <v>463</v>
      </c>
      <c r="G492" s="1926">
        <f>$L$64-G491</f>
        <v>2</v>
      </c>
      <c r="H492" s="1927"/>
      <c r="I492" s="398" t="s">
        <v>452</v>
      </c>
      <c r="J492" s="1791"/>
      <c r="K492" s="1184"/>
      <c r="L492" s="1780"/>
      <c r="M492" s="1782"/>
      <c r="N492" s="1775"/>
      <c r="O492" s="1777"/>
      <c r="P492" s="1778"/>
      <c r="Q492" s="989"/>
      <c r="R492" s="419"/>
      <c r="S492" s="419"/>
      <c r="T492" s="419"/>
    </row>
    <row r="493" spans="2:20" ht="19.5" customHeight="1">
      <c r="B493" s="1357"/>
      <c r="C493" s="1357"/>
      <c r="D493" s="1392" t="s">
        <v>276</v>
      </c>
      <c r="E493" s="438" t="s">
        <v>253</v>
      </c>
      <c r="F493" s="439" t="s">
        <v>420</v>
      </c>
      <c r="G493" s="1397">
        <f>LEN(LEFT('記入シート'!C277,L493))</f>
        <v>0</v>
      </c>
      <c r="H493" s="1398"/>
      <c r="I493" s="440" t="s">
        <v>452</v>
      </c>
      <c r="J493" s="1424" t="s">
        <v>352</v>
      </c>
      <c r="K493" s="1186">
        <f ca="1">CELL("row",'記入シート'!C277)</f>
        <v>277</v>
      </c>
      <c r="L493" s="1425">
        <f>$L$66</f>
        <v>1</v>
      </c>
      <c r="M493" s="1426">
        <f>M452</f>
        <v>132</v>
      </c>
      <c r="N493" s="1762" t="s">
        <v>10</v>
      </c>
      <c r="O493" s="1764">
        <f>IF(G493=0,0,1)</f>
        <v>0</v>
      </c>
      <c r="P493" s="1765" t="s">
        <v>453</v>
      </c>
      <c r="Q493" s="639">
        <f>IF(G454=0,"",CONCATENATE(LEFT('記入シート'!C277,1),REPT("　",O495)))</f>
      </c>
      <c r="R493" s="419"/>
      <c r="S493" s="419"/>
      <c r="T493" s="419"/>
    </row>
    <row r="494" spans="2:20" ht="19.5" customHeight="1">
      <c r="B494" s="1357"/>
      <c r="C494" s="1357"/>
      <c r="D494" s="1392"/>
      <c r="E494" s="414" t="s">
        <v>254</v>
      </c>
      <c r="F494" s="420" t="s">
        <v>460</v>
      </c>
      <c r="G494" s="1399">
        <f>$L$66-G493</f>
        <v>1</v>
      </c>
      <c r="H494" s="1400"/>
      <c r="I494" s="398" t="s">
        <v>452</v>
      </c>
      <c r="J494" s="1402"/>
      <c r="K494" s="1187"/>
      <c r="L494" s="1405"/>
      <c r="M494" s="1408"/>
      <c r="N494" s="1763"/>
      <c r="O494" s="1415"/>
      <c r="P494" s="1418"/>
      <c r="Q494" s="464"/>
      <c r="R494" s="419"/>
      <c r="S494" s="419"/>
      <c r="T494" s="419"/>
    </row>
    <row r="495" spans="2:20" ht="19.5" customHeight="1" thickBot="1">
      <c r="B495" s="1358"/>
      <c r="C495" s="1358"/>
      <c r="D495" s="1393"/>
      <c r="E495" s="442"/>
      <c r="F495" s="441" t="s">
        <v>158</v>
      </c>
      <c r="G495" s="385" t="s">
        <v>159</v>
      </c>
      <c r="H495" s="367">
        <f>WIDECHAR('記入シート'!C277)</f>
      </c>
      <c r="I495" s="387" t="s">
        <v>160</v>
      </c>
      <c r="J495" s="1772"/>
      <c r="K495" s="1189"/>
      <c r="L495" s="1773"/>
      <c r="M495" s="1789"/>
      <c r="N495" s="425" t="s">
        <v>148</v>
      </c>
      <c r="O495" s="776">
        <f>O479-O493</f>
        <v>0</v>
      </c>
      <c r="P495" s="426" t="s">
        <v>453</v>
      </c>
      <c r="Q495" s="465"/>
      <c r="R495" s="419"/>
      <c r="S495" s="419"/>
      <c r="T495" s="419"/>
    </row>
    <row r="496" spans="2:20" ht="19.5" customHeight="1" thickTop="1">
      <c r="B496" s="1390" t="s">
        <v>112</v>
      </c>
      <c r="C496" s="1390" t="s">
        <v>400</v>
      </c>
      <c r="D496" s="1479" t="s">
        <v>12</v>
      </c>
      <c r="E496" s="1033" t="s">
        <v>13</v>
      </c>
      <c r="F496" s="1034"/>
      <c r="G496" s="1659">
        <f>O303+O347+O391+O435+O479</f>
        <v>0</v>
      </c>
      <c r="H496" s="1660"/>
      <c r="I496" s="1035" t="s">
        <v>453</v>
      </c>
      <c r="J496" s="1056" t="s">
        <v>400</v>
      </c>
      <c r="K496" s="1041"/>
      <c r="L496" s="1042"/>
      <c r="M496" s="1032" t="str">
        <f>IF(G503="OVER","※＃２は超過しているため表示できません",CONCATENATE(REPT("　",G514*$L$32),Q276,Q320,Q364,Q408,Q452,REPT("　",(G500-G496+G518)*$L$32)))</f>
        <v>　　　　　　　　　　　　　　　　　　　</v>
      </c>
      <c r="N496" s="466"/>
      <c r="O496" s="466"/>
      <c r="P496" s="466"/>
      <c r="Q496" s="466"/>
      <c r="R496" s="466"/>
      <c r="S496" s="466"/>
      <c r="T496" s="466"/>
    </row>
    <row r="497" spans="2:20" ht="19.5" customHeight="1">
      <c r="B497" s="1357"/>
      <c r="C497" s="1357"/>
      <c r="D497" s="1480"/>
      <c r="E497" s="1481" t="s">
        <v>16</v>
      </c>
      <c r="F497" s="1482"/>
      <c r="G497" s="1119" t="str">
        <f>IF(G496&gt;J241,"OVER","INSIDE")</f>
        <v>INSIDE</v>
      </c>
      <c r="H497" s="1508"/>
      <c r="I497" s="1515"/>
      <c r="J497" s="1053" t="s">
        <v>401</v>
      </c>
      <c r="K497" s="1054"/>
      <c r="L497" s="1055"/>
      <c r="M497" s="467" t="str">
        <f>IF(G503="OVER","※　OVER",CONCATENATE(REPT("　",G514*$L$40),Q288,Q332,Q376,Q420,Q464,REPT("　",(G500-G496+G518)*$L$40)))</f>
        <v>　　　　　　</v>
      </c>
      <c r="N497" s="468"/>
      <c r="O497" s="468"/>
      <c r="P497" s="468"/>
      <c r="Q497" s="468"/>
      <c r="R497" s="468"/>
      <c r="S497" s="468"/>
      <c r="T497" s="468"/>
    </row>
    <row r="498" spans="2:20" ht="19.5" customHeight="1">
      <c r="B498" s="1357"/>
      <c r="C498" s="1357"/>
      <c r="D498" s="1480"/>
      <c r="E498" s="1483"/>
      <c r="F498" s="1484"/>
      <c r="G498" s="1113"/>
      <c r="H498" s="1108"/>
      <c r="I498" s="1516"/>
      <c r="J498" s="1076" t="s">
        <v>402</v>
      </c>
      <c r="K498" s="1077"/>
      <c r="L498" s="1069"/>
      <c r="M498" s="571" t="str">
        <f>IF(G503="OVER","※　OVER",CONCATENATE(REPT("　",G514*$L$49),Q298,Q342,Q386,Q430,Q474,REPT("　",(G500-G496+G518)*$L$49)))</f>
        <v>　　　　　　</v>
      </c>
      <c r="N498" s="469"/>
      <c r="O498" s="469"/>
      <c r="P498" s="469"/>
      <c r="Q498" s="469"/>
      <c r="R498" s="469"/>
      <c r="S498" s="469"/>
      <c r="T498" s="469"/>
    </row>
    <row r="499" spans="2:20" ht="19.5" customHeight="1">
      <c r="B499" s="1357"/>
      <c r="C499" s="1357"/>
      <c r="D499" s="1480"/>
      <c r="E499" s="406"/>
      <c r="F499" s="411"/>
      <c r="G499" s="1226"/>
      <c r="H499" s="1227"/>
      <c r="I499" s="772"/>
      <c r="J499" s="1068" t="s">
        <v>6</v>
      </c>
      <c r="K499" s="1057"/>
      <c r="L499" s="1058"/>
      <c r="M499" s="470" t="str">
        <f>IF(G503="OVER","※OVER",CONCATENATE(REPT("　",G514*5),Q310,Q354,Q398,Q442,Q486,REPT("　",(G500-G496+G518)*5)))</f>
        <v>　　　　　</v>
      </c>
      <c r="N499" s="471"/>
      <c r="O499" s="471"/>
      <c r="P499" s="471"/>
      <c r="Q499" s="471"/>
      <c r="R499" s="471"/>
      <c r="S499" s="471"/>
      <c r="T499" s="471"/>
    </row>
    <row r="500" spans="2:20" ht="19.5" customHeight="1">
      <c r="B500" s="1357"/>
      <c r="C500" s="1357"/>
      <c r="D500" s="1480"/>
      <c r="E500" s="1481" t="s">
        <v>15</v>
      </c>
      <c r="F500" s="1482"/>
      <c r="G500" s="1224">
        <f>MAX(G247,G258,G269,G496)</f>
        <v>0</v>
      </c>
      <c r="H500" s="1225"/>
      <c r="I500" s="1509" t="s">
        <v>453</v>
      </c>
      <c r="J500" s="1065" t="s">
        <v>7</v>
      </c>
      <c r="K500" s="1066"/>
      <c r="L500" s="1067"/>
      <c r="M500" s="472" t="str">
        <f>IF(G503="OVER","※OVER",CONCATENATE(REPT("　",G514*5),Q314,Q358,Q402,Q446,Q490,REPT("　",(G500-G496+G518)*5)))</f>
        <v>　　　　　</v>
      </c>
      <c r="N500" s="473"/>
      <c r="O500" s="473"/>
      <c r="P500" s="473"/>
      <c r="Q500" s="473"/>
      <c r="R500" s="473"/>
      <c r="S500" s="473"/>
      <c r="T500" s="473"/>
    </row>
    <row r="501" spans="2:20" ht="19.5" customHeight="1">
      <c r="B501" s="1357"/>
      <c r="C501" s="1357"/>
      <c r="D501" s="1480"/>
      <c r="E501" s="1485"/>
      <c r="F501" s="1486"/>
      <c r="G501" s="1454"/>
      <c r="H501" s="1455"/>
      <c r="I501" s="1510"/>
      <c r="J501" s="1079" t="s">
        <v>404</v>
      </c>
      <c r="K501" s="1080"/>
      <c r="L501" s="1075"/>
      <c r="M501" s="474" t="str">
        <f>IF(G503="OVER","※",CONCATENATE(REPT("　",G514),Q317,Q361,Q405,Q449,Q493,REPT("　",(G500-G496+G518))))</f>
        <v>　</v>
      </c>
      <c r="N501" s="475"/>
      <c r="O501" s="475"/>
      <c r="P501" s="475"/>
      <c r="Q501" s="475"/>
      <c r="R501" s="475"/>
      <c r="S501" s="475"/>
      <c r="T501" s="475"/>
    </row>
    <row r="502" spans="2:13" ht="19.5" customHeight="1">
      <c r="B502" s="1477" t="s">
        <v>123</v>
      </c>
      <c r="C502" s="1478"/>
      <c r="D502" s="1478"/>
      <c r="E502" s="1478"/>
      <c r="F502" s="1185"/>
      <c r="G502" s="1224">
        <f>MIN(G247,G258,G269,G497)</f>
        <v>0</v>
      </c>
      <c r="H502" s="1225"/>
      <c r="I502" s="696" t="s">
        <v>453</v>
      </c>
      <c r="L502" s="194"/>
      <c r="M502" s="195"/>
    </row>
    <row r="503" spans="2:13" ht="19.5" customHeight="1" thickBot="1">
      <c r="B503" s="1487" t="s">
        <v>322</v>
      </c>
      <c r="C503" s="1488"/>
      <c r="D503" s="1488"/>
      <c r="E503" s="1488"/>
      <c r="F503" s="1489"/>
      <c r="G503" s="1119" t="str">
        <f>IF(MAX(G247,G258,G269,G496)&gt;J241,"OVER","INSIDE")</f>
        <v>INSIDE</v>
      </c>
      <c r="H503" s="1508"/>
      <c r="I503" s="1120"/>
      <c r="L503" s="194"/>
      <c r="M503" s="195"/>
    </row>
    <row r="504" spans="2:9" ht="19.5" customHeight="1">
      <c r="B504" s="1490" t="s">
        <v>42</v>
      </c>
      <c r="C504" s="1491"/>
      <c r="D504" s="1491"/>
      <c r="E504" s="1491"/>
      <c r="F504" s="1492"/>
      <c r="G504" s="1397">
        <f>G233+G239</f>
        <v>1</v>
      </c>
      <c r="H504" s="1398"/>
      <c r="I504" s="401" t="s">
        <v>453</v>
      </c>
    </row>
    <row r="505" spans="2:9" ht="19.5" customHeight="1">
      <c r="B505" s="1477" t="s">
        <v>40</v>
      </c>
      <c r="C505" s="1478"/>
      <c r="D505" s="1478"/>
      <c r="E505" s="1478"/>
      <c r="F505" s="1185"/>
      <c r="G505" s="1399">
        <f>ROUNDUP(G504/27,0)</f>
        <v>1</v>
      </c>
      <c r="H505" s="1400"/>
      <c r="I505" s="387" t="s">
        <v>36</v>
      </c>
    </row>
    <row r="506" spans="2:9" ht="19.5" customHeight="1">
      <c r="B506" s="1477" t="s">
        <v>49</v>
      </c>
      <c r="C506" s="1478"/>
      <c r="D506" s="1478"/>
      <c r="E506" s="1478"/>
      <c r="F506" s="1185"/>
      <c r="G506" s="1399">
        <f>G504+G500</f>
        <v>1</v>
      </c>
      <c r="H506" s="1400"/>
      <c r="I506" s="384" t="s">
        <v>453</v>
      </c>
    </row>
    <row r="507" spans="2:9" ht="19.5" customHeight="1">
      <c r="B507" s="1498"/>
      <c r="C507" s="1499"/>
      <c r="D507" s="1478" t="s">
        <v>44</v>
      </c>
      <c r="E507" s="1478"/>
      <c r="F507" s="1185"/>
      <c r="G507" s="1419">
        <f>G504+G247</f>
        <v>1</v>
      </c>
      <c r="H507" s="1420"/>
      <c r="I507" s="384" t="s">
        <v>453</v>
      </c>
    </row>
    <row r="508" spans="2:20" ht="19.5" customHeight="1">
      <c r="B508" s="1500"/>
      <c r="C508" s="1501"/>
      <c r="D508" s="1478" t="s">
        <v>45</v>
      </c>
      <c r="E508" s="1478"/>
      <c r="F508" s="1185"/>
      <c r="G508" s="1399">
        <f>G504+G258</f>
        <v>1</v>
      </c>
      <c r="H508" s="1400"/>
      <c r="I508" s="384" t="s">
        <v>453</v>
      </c>
      <c r="K508" s="380"/>
      <c r="L508" s="774"/>
      <c r="M508" s="775"/>
      <c r="N508" s="775"/>
      <c r="O508" s="775"/>
      <c r="P508" s="775"/>
      <c r="Q508" s="775"/>
      <c r="R508" s="775"/>
      <c r="S508" s="775"/>
      <c r="T508" s="775"/>
    </row>
    <row r="509" spans="2:20" ht="19.5" customHeight="1">
      <c r="B509" s="1500"/>
      <c r="C509" s="1501"/>
      <c r="D509" s="1478" t="s">
        <v>46</v>
      </c>
      <c r="E509" s="1478"/>
      <c r="F509" s="1185"/>
      <c r="G509" s="1399">
        <f>G504+G269</f>
        <v>1</v>
      </c>
      <c r="H509" s="1400"/>
      <c r="I509" s="384" t="s">
        <v>453</v>
      </c>
      <c r="K509" s="380"/>
      <c r="L509" s="774"/>
      <c r="M509" s="775"/>
      <c r="N509" s="775"/>
      <c r="O509" s="775"/>
      <c r="P509" s="775"/>
      <c r="Q509" s="775"/>
      <c r="R509" s="775"/>
      <c r="S509" s="775"/>
      <c r="T509" s="775"/>
    </row>
    <row r="510" spans="2:20" ht="19.5" customHeight="1">
      <c r="B510" s="858"/>
      <c r="C510" s="817"/>
      <c r="D510" s="1478" t="s">
        <v>47</v>
      </c>
      <c r="E510" s="1478"/>
      <c r="F510" s="1185"/>
      <c r="G510" s="1399">
        <f>MAX(G507,G508,G509)</f>
        <v>1</v>
      </c>
      <c r="H510" s="1400"/>
      <c r="I510" s="384" t="s">
        <v>453</v>
      </c>
      <c r="K510" s="380"/>
      <c r="L510" s="774"/>
      <c r="M510" s="775"/>
      <c r="N510" s="775"/>
      <c r="O510" s="775"/>
      <c r="P510" s="775"/>
      <c r="Q510" s="775"/>
      <c r="R510" s="775"/>
      <c r="S510" s="775"/>
      <c r="T510" s="775"/>
    </row>
    <row r="511" spans="2:20" ht="19.5" customHeight="1">
      <c r="B511" s="858"/>
      <c r="C511" s="818"/>
      <c r="D511" s="1478" t="s">
        <v>48</v>
      </c>
      <c r="E511" s="1478"/>
      <c r="F511" s="1185"/>
      <c r="G511" s="1399">
        <f>ROUNDUP(G510/27,0)</f>
        <v>1</v>
      </c>
      <c r="H511" s="1400"/>
      <c r="I511" s="387" t="s">
        <v>36</v>
      </c>
      <c r="K511" s="380"/>
      <c r="L511" s="774"/>
      <c r="M511" s="775"/>
      <c r="N511" s="775"/>
      <c r="O511" s="775"/>
      <c r="P511" s="775"/>
      <c r="Q511" s="775"/>
      <c r="R511" s="775"/>
      <c r="S511" s="775"/>
      <c r="T511" s="775"/>
    </row>
    <row r="512" spans="2:20" ht="19.5" customHeight="1">
      <c r="B512" s="859"/>
      <c r="C512" s="816"/>
      <c r="D512" s="1478" t="s">
        <v>50</v>
      </c>
      <c r="E512" s="1478"/>
      <c r="F512" s="1185"/>
      <c r="G512" s="1656" t="str">
        <f>IF(ROUNDDOWN(G233/27,0)=ROUNDDOWN(G507/27,0),"同じ","違う")</f>
        <v>同じ</v>
      </c>
      <c r="H512" s="1657"/>
      <c r="I512" s="1658"/>
      <c r="K512" s="380"/>
      <c r="L512" s="774"/>
      <c r="M512" s="775"/>
      <c r="N512" s="775"/>
      <c r="O512" s="775"/>
      <c r="P512" s="775"/>
      <c r="Q512" s="775"/>
      <c r="R512" s="775"/>
      <c r="S512" s="775"/>
      <c r="T512" s="775"/>
    </row>
    <row r="513" spans="2:20" ht="19.5" customHeight="1">
      <c r="B513" s="1477" t="s">
        <v>51</v>
      </c>
      <c r="C513" s="1478"/>
      <c r="D513" s="1478"/>
      <c r="E513" s="1478"/>
      <c r="F513" s="1185"/>
      <c r="G513" s="1656" t="str">
        <f>IF(G512="同じ","不要","必要")</f>
        <v>不要</v>
      </c>
      <c r="H513" s="1657"/>
      <c r="I513" s="1658"/>
      <c r="J513" s="1073" t="s">
        <v>362</v>
      </c>
      <c r="K513" s="1074"/>
      <c r="L513" s="1217" t="s">
        <v>361</v>
      </c>
      <c r="M513" s="1218"/>
      <c r="N513" s="1219"/>
      <c r="O513" s="993">
        <f>IF(G513="必要",G505+1,G505)</f>
        <v>1</v>
      </c>
      <c r="P513" s="994" t="s">
        <v>36</v>
      </c>
      <c r="Q513" s="775"/>
      <c r="R513" s="775"/>
      <c r="S513" s="775"/>
      <c r="T513" s="775"/>
    </row>
    <row r="514" spans="2:20" ht="19.5" customHeight="1">
      <c r="B514" s="1477" t="s">
        <v>262</v>
      </c>
      <c r="C514" s="1478"/>
      <c r="D514" s="1478"/>
      <c r="E514" s="1478"/>
      <c r="F514" s="1185"/>
      <c r="G514" s="1206">
        <f>IF(G513="必要",G505*27-G504,0)</f>
        <v>0</v>
      </c>
      <c r="H514" s="1207"/>
      <c r="I514" s="796" t="s">
        <v>453</v>
      </c>
      <c r="K514" s="380"/>
      <c r="L514" s="990" t="s">
        <v>357</v>
      </c>
      <c r="M514" s="991"/>
      <c r="N514" s="992"/>
      <c r="O514" s="1220" t="str">
        <f>IF(O513&gt;$G$8,"ＯＶＥＲ","ＩＮＳＩＤＥ")</f>
        <v>ＩＮＳＩＤＥ</v>
      </c>
      <c r="P514" s="1221"/>
      <c r="Q514" s="775"/>
      <c r="R514" s="775"/>
      <c r="S514" s="775"/>
      <c r="T514" s="775"/>
    </row>
    <row r="515" spans="2:20" ht="19.5" customHeight="1">
      <c r="B515" s="1477" t="s">
        <v>263</v>
      </c>
      <c r="C515" s="1478"/>
      <c r="D515" s="1478"/>
      <c r="E515" s="1478"/>
      <c r="F515" s="1185"/>
      <c r="G515" s="1399">
        <f>G504+G514+G500</f>
        <v>1</v>
      </c>
      <c r="H515" s="1400"/>
      <c r="I515" s="387"/>
      <c r="K515" s="380"/>
      <c r="L515" s="774"/>
      <c r="M515" s="775"/>
      <c r="N515" s="775"/>
      <c r="O515" s="775"/>
      <c r="P515" s="775"/>
      <c r="Q515" s="775"/>
      <c r="R515" s="775"/>
      <c r="S515" s="775"/>
      <c r="T515" s="775"/>
    </row>
    <row r="516" spans="2:20" ht="19.5" customHeight="1">
      <c r="B516" s="1477" t="s">
        <v>367</v>
      </c>
      <c r="C516" s="1478"/>
      <c r="D516" s="1478"/>
      <c r="E516" s="1478"/>
      <c r="F516" s="1185"/>
      <c r="G516" s="1399">
        <f>ROUNDUP(G515/27,0)</f>
        <v>1</v>
      </c>
      <c r="H516" s="1400"/>
      <c r="I516" s="387"/>
      <c r="K516" s="380"/>
      <c r="L516" s="774"/>
      <c r="M516" s="775"/>
      <c r="N516" s="775"/>
      <c r="O516" s="775"/>
      <c r="P516" s="775"/>
      <c r="Q516" s="775"/>
      <c r="R516" s="775"/>
      <c r="S516" s="775"/>
      <c r="T516" s="775"/>
    </row>
    <row r="517" spans="2:20" ht="19.5" customHeight="1">
      <c r="B517" s="1477" t="s">
        <v>52</v>
      </c>
      <c r="C517" s="1478"/>
      <c r="D517" s="1478"/>
      <c r="E517" s="1478"/>
      <c r="F517" s="1185"/>
      <c r="G517" s="1656" t="str">
        <f>IF(L517=TRUE,"最終行","最終以外")</f>
        <v>最終以外</v>
      </c>
      <c r="H517" s="1657"/>
      <c r="I517" s="1658"/>
      <c r="J517" s="1061" t="s">
        <v>43</v>
      </c>
      <c r="K517" s="1062"/>
      <c r="L517" s="815" t="b">
        <f>OR(G515=27,G515=54,G515=81,G515=108,G515=135)</f>
        <v>0</v>
      </c>
      <c r="M517" s="813"/>
      <c r="N517" s="814"/>
      <c r="O517" s="775"/>
      <c r="P517" s="775"/>
      <c r="Q517" s="775"/>
      <c r="R517" s="775"/>
      <c r="S517" s="775"/>
      <c r="T517" s="775"/>
    </row>
    <row r="518" spans="2:20" ht="19.5" customHeight="1" thickBot="1">
      <c r="B518" s="1477" t="s">
        <v>41</v>
      </c>
      <c r="C518" s="1478"/>
      <c r="D518" s="1478"/>
      <c r="E518" s="1478"/>
      <c r="F518" s="1185"/>
      <c r="G518" s="1399">
        <f>IF(L517=TRUE,0,1)</f>
        <v>1</v>
      </c>
      <c r="H518" s="1400"/>
      <c r="I518" s="812"/>
      <c r="J518" s="1063" t="s">
        <v>54</v>
      </c>
      <c r="K518" s="1064"/>
      <c r="L518" s="1064"/>
      <c r="M518" s="1064"/>
      <c r="N518" s="1064"/>
      <c r="O518" s="775"/>
      <c r="P518" s="775"/>
      <c r="Q518" s="775"/>
      <c r="R518" s="775"/>
      <c r="S518" s="775"/>
      <c r="T518" s="775"/>
    </row>
    <row r="519" spans="2:20" ht="19.5" customHeight="1" thickBot="1" thickTop="1">
      <c r="B519" s="1940" t="s">
        <v>163</v>
      </c>
      <c r="C519" s="1941"/>
      <c r="D519" s="1941"/>
      <c r="E519" s="1941"/>
      <c r="F519" s="1942"/>
      <c r="G519" s="1943">
        <f>IF(J241-G500-G518&lt;0,0,J241-G500-G518)</f>
        <v>131</v>
      </c>
      <c r="H519" s="1944"/>
      <c r="I519" s="838" t="s">
        <v>453</v>
      </c>
      <c r="K519" s="380"/>
      <c r="L519" s="774"/>
      <c r="M519" s="775"/>
      <c r="N519" s="775"/>
      <c r="O519" s="775"/>
      <c r="P519" s="775"/>
      <c r="Q519" s="775"/>
      <c r="R519" s="775"/>
      <c r="S519" s="775"/>
      <c r="T519" s="775"/>
    </row>
    <row r="520" spans="2:20" ht="19.5" customHeight="1" thickBot="1" thickTop="1">
      <c r="B520" s="369" t="s">
        <v>326</v>
      </c>
      <c r="C520" s="370"/>
      <c r="D520" s="370"/>
      <c r="E520" s="370"/>
      <c r="F520" s="370"/>
      <c r="G520" s="370"/>
      <c r="H520" s="370"/>
      <c r="I520" s="370"/>
      <c r="J520" s="1174">
        <f>IF(G519-G793&lt;0,0,G519-G793)</f>
        <v>131</v>
      </c>
      <c r="K520" s="1174"/>
      <c r="L520" s="839" t="s">
        <v>325</v>
      </c>
      <c r="M520" s="835"/>
      <c r="N520" s="835"/>
      <c r="O520" s="835"/>
      <c r="P520" s="835"/>
      <c r="Q520" s="380"/>
      <c r="R520" s="380"/>
      <c r="S520" s="380"/>
      <c r="T520" s="380"/>
    </row>
    <row r="521" spans="2:20" ht="19.5" customHeight="1" thickTop="1">
      <c r="B521" s="1930" t="s">
        <v>117</v>
      </c>
      <c r="C521" s="1346" t="s">
        <v>443</v>
      </c>
      <c r="D521" s="1937" t="s">
        <v>437</v>
      </c>
      <c r="E521" s="1938"/>
      <c r="F521" s="1939"/>
      <c r="G521" s="1947">
        <f>G519*L521</f>
        <v>1572</v>
      </c>
      <c r="H521" s="1948"/>
      <c r="I521" s="891" t="s">
        <v>452</v>
      </c>
      <c r="J521" s="1046" t="s">
        <v>351</v>
      </c>
      <c r="K521" s="1173">
        <f ca="1">CELL("row",'記入シート'!C283)</f>
        <v>283</v>
      </c>
      <c r="L521" s="1178">
        <f>$L$10</f>
        <v>12</v>
      </c>
      <c r="M521" s="1175">
        <f>G529/L521</f>
        <v>131</v>
      </c>
      <c r="N521" s="1766" t="s">
        <v>444</v>
      </c>
      <c r="O521" s="1767">
        <f>G779-G526+G797</f>
        <v>1</v>
      </c>
      <c r="P521" s="1768" t="s">
        <v>453</v>
      </c>
      <c r="Q521" s="1361" t="str">
        <f>IF(G782="OVER","＃３は超過につき表示不可",IF(G523=0,REPT("　",(G779+G797)*L521),IF(G532="OVER",CONCATENATE(REPT("　",G793*L521),"※　文字数が多過ぎます　※"),CONCATENATE(REPT("　",G793*L521),"＃３　",'記入シート'!C283,REPT("　",O523),))))</f>
        <v>　　　　　　　　　　　　</v>
      </c>
      <c r="R521" s="1362"/>
      <c r="S521" s="1363"/>
      <c r="T521" s="381"/>
    </row>
    <row r="522" spans="2:20" ht="19.5" customHeight="1">
      <c r="B522" s="1370"/>
      <c r="C522" s="1346"/>
      <c r="D522" s="888" t="s">
        <v>140</v>
      </c>
      <c r="E522" s="889"/>
      <c r="F522" s="890"/>
      <c r="G522" s="1475">
        <f>IF(G521&gt;3,G521-3,0)</f>
        <v>1569</v>
      </c>
      <c r="H522" s="1476"/>
      <c r="I522" s="891" t="s">
        <v>452</v>
      </c>
      <c r="J522" s="1047"/>
      <c r="K522" s="1051"/>
      <c r="L522" s="1179"/>
      <c r="M522" s="1176"/>
      <c r="N522" s="1388"/>
      <c r="O522" s="1382"/>
      <c r="P522" s="1385"/>
      <c r="Q522" s="1364"/>
      <c r="R522" s="1365"/>
      <c r="S522" s="1366"/>
      <c r="T522" s="381"/>
    </row>
    <row r="523" spans="2:20" ht="19.5" customHeight="1">
      <c r="B523" s="1370"/>
      <c r="C523" s="1346"/>
      <c r="D523" s="1934" t="s">
        <v>175</v>
      </c>
      <c r="E523" s="1935"/>
      <c r="F523" s="1936"/>
      <c r="G523" s="1475">
        <f>LEN('記入シート'!C283)</f>
        <v>0</v>
      </c>
      <c r="H523" s="1476"/>
      <c r="I523" s="893" t="s">
        <v>452</v>
      </c>
      <c r="J523" s="1047"/>
      <c r="K523" s="1051"/>
      <c r="L523" s="1179"/>
      <c r="M523" s="1176"/>
      <c r="N523" s="481" t="s">
        <v>445</v>
      </c>
      <c r="O523" s="482">
        <f>ABS(G527)+O521*$L$10</f>
        <v>12</v>
      </c>
      <c r="P523" s="483" t="s">
        <v>452</v>
      </c>
      <c r="Q523" s="1364"/>
      <c r="R523" s="1365"/>
      <c r="S523" s="1366"/>
      <c r="T523" s="381"/>
    </row>
    <row r="524" spans="2:20" ht="19.5" customHeight="1">
      <c r="B524" s="1370"/>
      <c r="C524" s="1346"/>
      <c r="D524" s="1934" t="s">
        <v>167</v>
      </c>
      <c r="E524" s="1935"/>
      <c r="F524" s="1936"/>
      <c r="G524" s="1470" t="str">
        <f>IF(G523&gt;G522,"OVER","INSIDE")</f>
        <v>INSIDE</v>
      </c>
      <c r="H524" s="1471"/>
      <c r="I524" s="1472"/>
      <c r="J524" s="1047"/>
      <c r="K524" s="1051"/>
      <c r="L524" s="1179"/>
      <c r="M524" s="1176"/>
      <c r="N524" s="484"/>
      <c r="O524" s="485"/>
      <c r="P524" s="486"/>
      <c r="Q524" s="1364"/>
      <c r="R524" s="1365"/>
      <c r="S524" s="1366"/>
      <c r="T524" s="381"/>
    </row>
    <row r="525" spans="2:20" ht="19.5" customHeight="1">
      <c r="B525" s="1370"/>
      <c r="C525" s="1346"/>
      <c r="D525" s="477" t="s">
        <v>181</v>
      </c>
      <c r="E525" s="478"/>
      <c r="F525" s="479"/>
      <c r="G525" s="1229">
        <f>IF(G523=0,0,IF(G524="OVER",0,G523+3))</f>
        <v>0</v>
      </c>
      <c r="H525" s="1230"/>
      <c r="I525" s="480" t="s">
        <v>452</v>
      </c>
      <c r="J525" s="1047"/>
      <c r="K525" s="1051"/>
      <c r="L525" s="1179"/>
      <c r="M525" s="1176"/>
      <c r="N525" s="487"/>
      <c r="O525" s="488"/>
      <c r="P525" s="489"/>
      <c r="Q525" s="1364"/>
      <c r="R525" s="1365"/>
      <c r="S525" s="1366"/>
      <c r="T525" s="381"/>
    </row>
    <row r="526" spans="2:20" ht="19.5" customHeight="1">
      <c r="B526" s="1370"/>
      <c r="C526" s="1346"/>
      <c r="D526" s="1965" t="s">
        <v>451</v>
      </c>
      <c r="E526" s="1966"/>
      <c r="F526" s="1967"/>
      <c r="G526" s="1229">
        <f>ROUNDUP(G525/$L$10,0)</f>
        <v>0</v>
      </c>
      <c r="H526" s="1230"/>
      <c r="I526" s="480" t="s">
        <v>453</v>
      </c>
      <c r="J526" s="1047"/>
      <c r="K526" s="1051"/>
      <c r="L526" s="1179"/>
      <c r="M526" s="1176"/>
      <c r="N526" s="487"/>
      <c r="O526" s="488"/>
      <c r="P526" s="489"/>
      <c r="Q526" s="1364"/>
      <c r="R526" s="1365"/>
      <c r="S526" s="1366"/>
      <c r="T526" s="381"/>
    </row>
    <row r="527" spans="2:20" ht="19.5" customHeight="1">
      <c r="B527" s="1370"/>
      <c r="C527" s="1346"/>
      <c r="D527" s="1965" t="s">
        <v>419</v>
      </c>
      <c r="E527" s="1966"/>
      <c r="F527" s="1967"/>
      <c r="G527" s="1229">
        <f>G525-G526*$L$10</f>
        <v>0</v>
      </c>
      <c r="H527" s="1230"/>
      <c r="I527" s="480" t="s">
        <v>452</v>
      </c>
      <c r="J527" s="1047"/>
      <c r="K527" s="1051"/>
      <c r="L527" s="1179"/>
      <c r="M527" s="1176"/>
      <c r="N527" s="487"/>
      <c r="O527" s="488"/>
      <c r="P527" s="489"/>
      <c r="Q527" s="1364"/>
      <c r="R527" s="1365"/>
      <c r="S527" s="1366"/>
      <c r="T527" s="381"/>
    </row>
    <row r="528" spans="2:20" ht="19.5" customHeight="1" thickBot="1">
      <c r="B528" s="1370"/>
      <c r="C528" s="1346"/>
      <c r="D528" s="1931" t="s">
        <v>423</v>
      </c>
      <c r="E528" s="1932"/>
      <c r="F528" s="1933"/>
      <c r="G528" s="1241">
        <f>G526*$L$10</f>
        <v>0</v>
      </c>
      <c r="H528" s="1242"/>
      <c r="I528" s="495" t="s">
        <v>452</v>
      </c>
      <c r="J528" s="1047"/>
      <c r="K528" s="1051"/>
      <c r="L528" s="1179"/>
      <c r="M528" s="1176"/>
      <c r="N528" s="487"/>
      <c r="O528" s="488"/>
      <c r="P528" s="489"/>
      <c r="Q528" s="1364"/>
      <c r="R528" s="1365"/>
      <c r="S528" s="1366"/>
      <c r="T528" s="381"/>
    </row>
    <row r="529" spans="2:20" ht="19.5" customHeight="1">
      <c r="B529" s="1370"/>
      <c r="C529" s="1345" t="s">
        <v>332</v>
      </c>
      <c r="D529" s="490" t="s">
        <v>329</v>
      </c>
      <c r="E529" s="491"/>
      <c r="F529" s="492"/>
      <c r="G529" s="1239">
        <f>J520*L521</f>
        <v>1572</v>
      </c>
      <c r="H529" s="1240"/>
      <c r="I529" s="492" t="s">
        <v>452</v>
      </c>
      <c r="J529" s="1047"/>
      <c r="K529" s="1051"/>
      <c r="L529" s="1179"/>
      <c r="M529" s="1176"/>
      <c r="N529" s="487"/>
      <c r="O529" s="488"/>
      <c r="P529" s="489"/>
      <c r="Q529" s="1364"/>
      <c r="R529" s="1365"/>
      <c r="S529" s="1366"/>
      <c r="T529" s="381"/>
    </row>
    <row r="530" spans="2:20" ht="19.5" customHeight="1">
      <c r="B530" s="1370"/>
      <c r="C530" s="1346"/>
      <c r="D530" s="494" t="s">
        <v>312</v>
      </c>
      <c r="E530" s="370"/>
      <c r="F530" s="480"/>
      <c r="G530" s="1206">
        <f>IF(G529&gt;3,G529-3,0)</f>
        <v>1569</v>
      </c>
      <c r="H530" s="1207"/>
      <c r="I530" s="797" t="s">
        <v>452</v>
      </c>
      <c r="J530" s="1047"/>
      <c r="K530" s="1051"/>
      <c r="L530" s="1179"/>
      <c r="M530" s="1176"/>
      <c r="N530" s="487"/>
      <c r="O530" s="488"/>
      <c r="P530" s="489"/>
      <c r="Q530" s="1364"/>
      <c r="R530" s="1365"/>
      <c r="S530" s="1366"/>
      <c r="T530" s="381"/>
    </row>
    <row r="531" spans="2:20" ht="19.5" customHeight="1">
      <c r="B531" s="1370"/>
      <c r="C531" s="1346"/>
      <c r="D531" s="494" t="s">
        <v>313</v>
      </c>
      <c r="E531" s="370"/>
      <c r="F531" s="480"/>
      <c r="G531" s="1241">
        <f>LEN('記入シート'!C283)</f>
        <v>0</v>
      </c>
      <c r="H531" s="1242"/>
      <c r="I531" s="476" t="s">
        <v>452</v>
      </c>
      <c r="J531" s="1047"/>
      <c r="K531" s="1051"/>
      <c r="L531" s="1179"/>
      <c r="M531" s="1176"/>
      <c r="N531" s="487"/>
      <c r="O531" s="488"/>
      <c r="P531" s="489"/>
      <c r="Q531" s="1364"/>
      <c r="R531" s="1365"/>
      <c r="S531" s="1366"/>
      <c r="T531" s="381"/>
    </row>
    <row r="532" spans="2:20" ht="19.5" customHeight="1" thickBot="1">
      <c r="B532" s="1377"/>
      <c r="C532" s="1347"/>
      <c r="D532" s="886" t="s">
        <v>167</v>
      </c>
      <c r="E532" s="522"/>
      <c r="F532" s="887"/>
      <c r="G532" s="1243" t="str">
        <f>IF(G531&gt;G530,"OVER","INSIDE")</f>
        <v>INSIDE</v>
      </c>
      <c r="H532" s="1244"/>
      <c r="I532" s="1245"/>
      <c r="J532" s="1048"/>
      <c r="K532" s="1045"/>
      <c r="L532" s="1180"/>
      <c r="M532" s="1177"/>
      <c r="N532" s="487"/>
      <c r="O532" s="488"/>
      <c r="P532" s="489"/>
      <c r="Q532" s="1367"/>
      <c r="R532" s="1368"/>
      <c r="S532" s="1369"/>
      <c r="T532" s="381"/>
    </row>
    <row r="533" spans="2:20" ht="19.5" customHeight="1">
      <c r="B533" s="1376" t="s">
        <v>117</v>
      </c>
      <c r="C533" s="1349" t="s">
        <v>417</v>
      </c>
      <c r="D533" s="900" t="s">
        <v>437</v>
      </c>
      <c r="E533" s="901"/>
      <c r="F533" s="891"/>
      <c r="G533" s="1947">
        <f>G519*L533</f>
        <v>1310</v>
      </c>
      <c r="H533" s="1948"/>
      <c r="I533" s="891" t="s">
        <v>452</v>
      </c>
      <c r="J533" s="1233" t="s">
        <v>351</v>
      </c>
      <c r="K533" s="1050">
        <f ca="1">CELL("row",'記入シート'!C289)</f>
        <v>289</v>
      </c>
      <c r="L533" s="1752">
        <f>$L$18</f>
        <v>10</v>
      </c>
      <c r="M533" s="1630">
        <f>M521</f>
        <v>131</v>
      </c>
      <c r="N533" s="1885" t="s">
        <v>444</v>
      </c>
      <c r="O533" s="1634">
        <f>G779-G537+G797</f>
        <v>1</v>
      </c>
      <c r="P533" s="1635" t="s">
        <v>453</v>
      </c>
      <c r="Q533" s="1339" t="str">
        <f>IF(G782="OVER","＃３は超過で表示不可",IF(G534=0,REPT("　",(G779+G797)*L533),IF(G542="OVER",CONCATENATE(REPT("　",G793*L533),"＃３は文字数過多です"),CONCATENATE(REPT("　",G793*L533),'記入シート'!C289,REPT("　",O535)))))</f>
        <v>　　　　　　　　　　</v>
      </c>
      <c r="R533" s="1340"/>
      <c r="S533" s="193"/>
      <c r="T533" s="193"/>
    </row>
    <row r="534" spans="2:20" ht="19.5" customHeight="1">
      <c r="B534" s="1370"/>
      <c r="C534" s="1350"/>
      <c r="D534" s="902" t="s">
        <v>438</v>
      </c>
      <c r="E534" s="903"/>
      <c r="F534" s="891"/>
      <c r="G534" s="1475">
        <f>LEN('記入シート'!C289)</f>
        <v>0</v>
      </c>
      <c r="H534" s="1476"/>
      <c r="I534" s="893" t="s">
        <v>452</v>
      </c>
      <c r="J534" s="1047"/>
      <c r="K534" s="1051"/>
      <c r="L534" s="1179"/>
      <c r="M534" s="1176"/>
      <c r="N534" s="1735"/>
      <c r="O534" s="1382"/>
      <c r="P534" s="1385"/>
      <c r="Q534" s="1341"/>
      <c r="R534" s="1342"/>
      <c r="S534" s="193"/>
      <c r="T534" s="193"/>
    </row>
    <row r="535" spans="2:20" ht="19.5" customHeight="1">
      <c r="B535" s="1370"/>
      <c r="C535" s="1350"/>
      <c r="D535" s="892" t="s">
        <v>167</v>
      </c>
      <c r="E535" s="903"/>
      <c r="F535" s="891"/>
      <c r="G535" s="1470" t="str">
        <f>IF(G534&gt;G533,"OVER","INSIDE")</f>
        <v>INSIDE</v>
      </c>
      <c r="H535" s="1471"/>
      <c r="I535" s="1472"/>
      <c r="J535" s="1047"/>
      <c r="K535" s="1051"/>
      <c r="L535" s="1179"/>
      <c r="M535" s="1176"/>
      <c r="N535" s="481" t="s">
        <v>445</v>
      </c>
      <c r="O535" s="482">
        <f>ABS(G538)+O533*$L$18</f>
        <v>10</v>
      </c>
      <c r="P535" s="483" t="s">
        <v>452</v>
      </c>
      <c r="Q535" s="1341"/>
      <c r="R535" s="1342"/>
      <c r="S535" s="193"/>
      <c r="T535" s="193"/>
    </row>
    <row r="536" spans="2:20" ht="19.5" customHeight="1">
      <c r="B536" s="1370"/>
      <c r="C536" s="1350"/>
      <c r="D536" s="892" t="s">
        <v>170</v>
      </c>
      <c r="E536" s="903"/>
      <c r="F536" s="891"/>
      <c r="G536" s="1475">
        <f>IF(G535="OVER",0,G534)</f>
        <v>0</v>
      </c>
      <c r="H536" s="1476"/>
      <c r="I536" s="893" t="s">
        <v>452</v>
      </c>
      <c r="J536" s="1047"/>
      <c r="K536" s="1051"/>
      <c r="L536" s="1179"/>
      <c r="M536" s="1176"/>
      <c r="N536" s="487"/>
      <c r="O536" s="488"/>
      <c r="P536" s="489"/>
      <c r="Q536" s="1341"/>
      <c r="R536" s="1342"/>
      <c r="S536" s="193"/>
      <c r="T536" s="193"/>
    </row>
    <row r="537" spans="2:20" ht="19.5" customHeight="1">
      <c r="B537" s="1370"/>
      <c r="C537" s="1350"/>
      <c r="D537" s="494" t="s">
        <v>451</v>
      </c>
      <c r="E537" s="370"/>
      <c r="F537" s="476"/>
      <c r="G537" s="1229">
        <f>ROUNDUP(G536/L533,0)</f>
        <v>0</v>
      </c>
      <c r="H537" s="1230"/>
      <c r="I537" s="480" t="s">
        <v>453</v>
      </c>
      <c r="J537" s="1047"/>
      <c r="K537" s="1051"/>
      <c r="L537" s="1179"/>
      <c r="M537" s="1176"/>
      <c r="N537" s="487"/>
      <c r="O537" s="488"/>
      <c r="P537" s="489"/>
      <c r="Q537" s="1341"/>
      <c r="R537" s="1342"/>
      <c r="S537" s="193"/>
      <c r="T537" s="193"/>
    </row>
    <row r="538" spans="2:20" ht="19.5" customHeight="1">
      <c r="B538" s="1370"/>
      <c r="C538" s="1350"/>
      <c r="D538" s="494" t="s">
        <v>439</v>
      </c>
      <c r="E538" s="370"/>
      <c r="F538" s="480"/>
      <c r="G538" s="1229">
        <f>G536-G537*L533</f>
        <v>0</v>
      </c>
      <c r="H538" s="1230"/>
      <c r="I538" s="480" t="s">
        <v>452</v>
      </c>
      <c r="J538" s="1047"/>
      <c r="K538" s="1051"/>
      <c r="L538" s="1179"/>
      <c r="M538" s="1176"/>
      <c r="N538" s="487"/>
      <c r="O538" s="488"/>
      <c r="P538" s="489"/>
      <c r="Q538" s="1341"/>
      <c r="R538" s="1342"/>
      <c r="S538" s="193"/>
      <c r="T538" s="193"/>
    </row>
    <row r="539" spans="2:20" ht="19.5" customHeight="1" thickBot="1">
      <c r="B539" s="1370"/>
      <c r="C539" s="1350"/>
      <c r="D539" s="498" t="s">
        <v>440</v>
      </c>
      <c r="E539" s="499"/>
      <c r="F539" s="495"/>
      <c r="G539" s="1241">
        <f>G537*$L$18</f>
        <v>0</v>
      </c>
      <c r="H539" s="1242"/>
      <c r="I539" s="495" t="s">
        <v>452</v>
      </c>
      <c r="J539" s="1047"/>
      <c r="K539" s="1051"/>
      <c r="L539" s="1179"/>
      <c r="M539" s="1176"/>
      <c r="N539" s="487"/>
      <c r="O539" s="488"/>
      <c r="P539" s="489"/>
      <c r="Q539" s="1341"/>
      <c r="R539" s="1342"/>
      <c r="S539" s="193"/>
      <c r="T539" s="193"/>
    </row>
    <row r="540" spans="2:20" ht="19.5" customHeight="1">
      <c r="B540" s="1370"/>
      <c r="C540" s="1349" t="s">
        <v>332</v>
      </c>
      <c r="D540" s="490" t="s">
        <v>437</v>
      </c>
      <c r="E540" s="491"/>
      <c r="F540" s="492"/>
      <c r="G540" s="1246">
        <f>J520*L533</f>
        <v>1310</v>
      </c>
      <c r="H540" s="1247"/>
      <c r="I540" s="795" t="s">
        <v>452</v>
      </c>
      <c r="J540" s="1047"/>
      <c r="K540" s="1051"/>
      <c r="L540" s="1179"/>
      <c r="M540" s="1176"/>
      <c r="N540" s="487"/>
      <c r="O540" s="488"/>
      <c r="P540" s="489"/>
      <c r="Q540" s="1341"/>
      <c r="R540" s="1342"/>
      <c r="S540" s="193"/>
      <c r="T540" s="193"/>
    </row>
    <row r="541" spans="2:20" ht="19.5" customHeight="1">
      <c r="B541" s="1370"/>
      <c r="C541" s="1350"/>
      <c r="D541" s="494" t="s">
        <v>438</v>
      </c>
      <c r="E541" s="370"/>
      <c r="F541" s="480"/>
      <c r="G541" s="1229">
        <f>LEN('記入シート'!C289)</f>
        <v>0</v>
      </c>
      <c r="H541" s="1230"/>
      <c r="I541" s="480" t="s">
        <v>452</v>
      </c>
      <c r="J541" s="1047"/>
      <c r="K541" s="1051"/>
      <c r="L541" s="1179"/>
      <c r="M541" s="1176"/>
      <c r="N541" s="487"/>
      <c r="O541" s="488"/>
      <c r="P541" s="489"/>
      <c r="Q541" s="1341"/>
      <c r="R541" s="1342"/>
      <c r="S541" s="193"/>
      <c r="T541" s="193"/>
    </row>
    <row r="542" spans="2:20" ht="19.5" customHeight="1">
      <c r="B542" s="1370"/>
      <c r="C542" s="1350"/>
      <c r="D542" s="477" t="s">
        <v>167</v>
      </c>
      <c r="E542" s="370"/>
      <c r="F542" s="480"/>
      <c r="G542" s="1248" t="str">
        <f>IF(G541&gt;G540,"OVER","INSIDE")</f>
        <v>INSIDE</v>
      </c>
      <c r="H542" s="1249"/>
      <c r="I542" s="1250"/>
      <c r="J542" s="1047"/>
      <c r="K542" s="1051"/>
      <c r="L542" s="1179"/>
      <c r="M542" s="1176"/>
      <c r="N542" s="487"/>
      <c r="O542" s="488"/>
      <c r="P542" s="489"/>
      <c r="Q542" s="1341"/>
      <c r="R542" s="1342"/>
      <c r="S542" s="193"/>
      <c r="T542" s="193"/>
    </row>
    <row r="543" spans="2:20" ht="19.5" customHeight="1" thickBot="1">
      <c r="B543" s="1377"/>
      <c r="C543" s="1351"/>
      <c r="D543" s="477" t="s">
        <v>170</v>
      </c>
      <c r="E543" s="876"/>
      <c r="F543" s="552"/>
      <c r="G543" s="1229">
        <f>IF(G542="OVER",0,G541)</f>
        <v>0</v>
      </c>
      <c r="H543" s="1230"/>
      <c r="I543" s="480" t="s">
        <v>452</v>
      </c>
      <c r="J543" s="1048"/>
      <c r="K543" s="1045"/>
      <c r="L543" s="1180"/>
      <c r="M543" s="1177"/>
      <c r="N543" s="487"/>
      <c r="O543" s="488"/>
      <c r="P543" s="489"/>
      <c r="Q543" s="1343"/>
      <c r="R543" s="1344"/>
      <c r="S543" s="193"/>
      <c r="T543" s="193"/>
    </row>
    <row r="544" spans="2:20" ht="19.5" customHeight="1">
      <c r="B544" s="1376" t="s">
        <v>117</v>
      </c>
      <c r="C544" s="1333" t="s">
        <v>418</v>
      </c>
      <c r="D544" s="904" t="s">
        <v>437</v>
      </c>
      <c r="E544" s="905"/>
      <c r="F544" s="906"/>
      <c r="G544" s="1945">
        <f>G519*L544</f>
        <v>1310</v>
      </c>
      <c r="H544" s="1946"/>
      <c r="I544" s="906" t="s">
        <v>452</v>
      </c>
      <c r="J544" s="1233" t="s">
        <v>352</v>
      </c>
      <c r="K544" s="1050">
        <f ca="1">CELL("row",'記入シート'!C295)</f>
        <v>295</v>
      </c>
      <c r="L544" s="1752">
        <f>$L$25</f>
        <v>10</v>
      </c>
      <c r="M544" s="1630">
        <f>M521</f>
        <v>131</v>
      </c>
      <c r="N544" s="1885" t="s">
        <v>444</v>
      </c>
      <c r="O544" s="1634">
        <f>G779-G548+G797</f>
        <v>1</v>
      </c>
      <c r="P544" s="1635" t="s">
        <v>453</v>
      </c>
      <c r="Q544" s="1320" t="str">
        <f>IF(G782="OVER","＃３は超過で表示不可",IF(G545=0,REPT("　",(G779+G797)*L544),IF(G553="OVER",CONCATENATE(REPT("　",G793*L544),"＃３は文字数過多です"),CONCATENATE(REPT("　",G793*L544),'記入シート'!C295,REPT("　",O546)))))</f>
        <v>　　　　　　　　　　</v>
      </c>
      <c r="R544" s="1321"/>
      <c r="S544" s="193"/>
      <c r="T544" s="193"/>
    </row>
    <row r="545" spans="2:20" ht="19.5" customHeight="1">
      <c r="B545" s="1370"/>
      <c r="C545" s="1334"/>
      <c r="D545" s="902" t="s">
        <v>438</v>
      </c>
      <c r="E545" s="903"/>
      <c r="F545" s="891"/>
      <c r="G545" s="1475">
        <f>LEN('記入シート'!C295)</f>
        <v>0</v>
      </c>
      <c r="H545" s="1476"/>
      <c r="I545" s="893" t="s">
        <v>452</v>
      </c>
      <c r="J545" s="1047"/>
      <c r="K545" s="1051"/>
      <c r="L545" s="1179"/>
      <c r="M545" s="1176"/>
      <c r="N545" s="1735"/>
      <c r="O545" s="1382"/>
      <c r="P545" s="1385"/>
      <c r="Q545" s="1322"/>
      <c r="R545" s="1323"/>
      <c r="S545" s="193"/>
      <c r="T545" s="193"/>
    </row>
    <row r="546" spans="2:20" ht="19.5" customHeight="1">
      <c r="B546" s="1370"/>
      <c r="C546" s="1334"/>
      <c r="D546" s="892" t="s">
        <v>167</v>
      </c>
      <c r="E546" s="903"/>
      <c r="F546" s="891"/>
      <c r="G546" s="1470" t="str">
        <f>IF(G545&gt;G544,"OVER","INSIDE")</f>
        <v>INSIDE</v>
      </c>
      <c r="H546" s="1471"/>
      <c r="I546" s="1472"/>
      <c r="J546" s="1047"/>
      <c r="K546" s="1051"/>
      <c r="L546" s="1179"/>
      <c r="M546" s="1176"/>
      <c r="N546" s="481" t="s">
        <v>445</v>
      </c>
      <c r="O546" s="482">
        <f>ABS(G549)+O544*L544</f>
        <v>10</v>
      </c>
      <c r="P546" s="483" t="s">
        <v>452</v>
      </c>
      <c r="Q546" s="1322"/>
      <c r="R546" s="1323"/>
      <c r="S546" s="193"/>
      <c r="T546" s="193"/>
    </row>
    <row r="547" spans="2:20" ht="19.5" customHeight="1">
      <c r="B547" s="1370"/>
      <c r="C547" s="1334"/>
      <c r="D547" s="892" t="s">
        <v>170</v>
      </c>
      <c r="E547" s="903"/>
      <c r="F547" s="891"/>
      <c r="G547" s="1475">
        <f>IF(G546="OVER",0,G545)</f>
        <v>0</v>
      </c>
      <c r="H547" s="1476"/>
      <c r="I547" s="893" t="s">
        <v>452</v>
      </c>
      <c r="J547" s="1047"/>
      <c r="K547" s="1051"/>
      <c r="L547" s="1179"/>
      <c r="M547" s="1176"/>
      <c r="N547" s="484"/>
      <c r="O547" s="485"/>
      <c r="P547" s="486"/>
      <c r="Q547" s="1322"/>
      <c r="R547" s="1323"/>
      <c r="S547" s="193"/>
      <c r="T547" s="193"/>
    </row>
    <row r="548" spans="2:20" ht="19.5" customHeight="1">
      <c r="B548" s="1370"/>
      <c r="C548" s="1334"/>
      <c r="D548" s="494" t="s">
        <v>451</v>
      </c>
      <c r="E548" s="370"/>
      <c r="F548" s="476"/>
      <c r="G548" s="1229">
        <f>ROUNDUP(G547/L544,0)</f>
        <v>0</v>
      </c>
      <c r="H548" s="1230"/>
      <c r="I548" s="480" t="s">
        <v>453</v>
      </c>
      <c r="J548" s="1047"/>
      <c r="K548" s="1051"/>
      <c r="L548" s="1179"/>
      <c r="M548" s="1176"/>
      <c r="N548" s="487"/>
      <c r="O548" s="488"/>
      <c r="P548" s="489"/>
      <c r="Q548" s="1322"/>
      <c r="R548" s="1323"/>
      <c r="S548" s="193"/>
      <c r="T548" s="193"/>
    </row>
    <row r="549" spans="2:20" ht="19.5" customHeight="1">
      <c r="B549" s="1370"/>
      <c r="C549" s="1334"/>
      <c r="D549" s="494" t="s">
        <v>439</v>
      </c>
      <c r="E549" s="370"/>
      <c r="F549" s="480"/>
      <c r="G549" s="1229">
        <f>G547-G548*L544</f>
        <v>0</v>
      </c>
      <c r="H549" s="1230"/>
      <c r="I549" s="480" t="s">
        <v>452</v>
      </c>
      <c r="J549" s="1047"/>
      <c r="K549" s="1051"/>
      <c r="L549" s="1179"/>
      <c r="M549" s="1176"/>
      <c r="N549" s="487"/>
      <c r="O549" s="488"/>
      <c r="P549" s="489"/>
      <c r="Q549" s="1322"/>
      <c r="R549" s="1323"/>
      <c r="S549" s="193"/>
      <c r="T549" s="193"/>
    </row>
    <row r="550" spans="2:20" ht="19.5" customHeight="1" thickBot="1">
      <c r="B550" s="1370"/>
      <c r="C550" s="1334"/>
      <c r="D550" s="498" t="s">
        <v>440</v>
      </c>
      <c r="E550" s="499"/>
      <c r="F550" s="495"/>
      <c r="G550" s="1241">
        <f>G548*$L$25</f>
        <v>0</v>
      </c>
      <c r="H550" s="1242"/>
      <c r="I550" s="495" t="s">
        <v>452</v>
      </c>
      <c r="J550" s="1047"/>
      <c r="K550" s="1051"/>
      <c r="L550" s="1179"/>
      <c r="M550" s="1176"/>
      <c r="N550" s="487"/>
      <c r="O550" s="488"/>
      <c r="P550" s="489"/>
      <c r="Q550" s="1322"/>
      <c r="R550" s="1323"/>
      <c r="S550" s="193"/>
      <c r="T550" s="193"/>
    </row>
    <row r="551" spans="2:20" ht="19.5" customHeight="1">
      <c r="B551" s="1370"/>
      <c r="C551" s="1333" t="s">
        <v>332</v>
      </c>
      <c r="D551" s="490" t="s">
        <v>437</v>
      </c>
      <c r="E551" s="491"/>
      <c r="F551" s="492"/>
      <c r="G551" s="1246">
        <f>J520*L544</f>
        <v>1310</v>
      </c>
      <c r="H551" s="1247"/>
      <c r="I551" s="795" t="s">
        <v>452</v>
      </c>
      <c r="J551" s="1047"/>
      <c r="K551" s="1051"/>
      <c r="L551" s="1179"/>
      <c r="M551" s="1176"/>
      <c r="N551" s="487"/>
      <c r="O551" s="488"/>
      <c r="P551" s="489"/>
      <c r="Q551" s="1322"/>
      <c r="R551" s="1323"/>
      <c r="S551" s="193"/>
      <c r="T551" s="193"/>
    </row>
    <row r="552" spans="2:20" ht="19.5" customHeight="1">
      <c r="B552" s="1370"/>
      <c r="C552" s="1334"/>
      <c r="D552" s="494" t="s">
        <v>438</v>
      </c>
      <c r="E552" s="370"/>
      <c r="F552" s="480"/>
      <c r="G552" s="1229">
        <f>LEN('記入シート'!C295)</f>
        <v>0</v>
      </c>
      <c r="H552" s="1230"/>
      <c r="I552" s="480" t="s">
        <v>452</v>
      </c>
      <c r="J552" s="1047"/>
      <c r="K552" s="1051"/>
      <c r="L552" s="1179"/>
      <c r="M552" s="1176"/>
      <c r="N552" s="487"/>
      <c r="O552" s="488"/>
      <c r="P552" s="489"/>
      <c r="Q552" s="1322"/>
      <c r="R552" s="1323"/>
      <c r="S552" s="193"/>
      <c r="T552" s="193"/>
    </row>
    <row r="553" spans="2:20" ht="19.5" customHeight="1">
      <c r="B553" s="1370"/>
      <c r="C553" s="1334"/>
      <c r="D553" s="477" t="s">
        <v>167</v>
      </c>
      <c r="E553" s="370"/>
      <c r="F553" s="480"/>
      <c r="G553" s="1248" t="str">
        <f>IF(G552&gt;G551,"OVER","INSIDE")</f>
        <v>INSIDE</v>
      </c>
      <c r="H553" s="1249"/>
      <c r="I553" s="1250"/>
      <c r="J553" s="1047"/>
      <c r="K553" s="1051"/>
      <c r="L553" s="1179"/>
      <c r="M553" s="1176"/>
      <c r="N553" s="487"/>
      <c r="O553" s="488"/>
      <c r="P553" s="489"/>
      <c r="Q553" s="1322"/>
      <c r="R553" s="1323"/>
      <c r="S553" s="193"/>
      <c r="T553" s="193"/>
    </row>
    <row r="554" spans="2:20" ht="19.5" customHeight="1" thickBot="1">
      <c r="B554" s="1377"/>
      <c r="C554" s="1335"/>
      <c r="D554" s="477" t="s">
        <v>170</v>
      </c>
      <c r="E554" s="876"/>
      <c r="F554" s="552"/>
      <c r="G554" s="1229">
        <f>IF(G553="OVER",0,G552)</f>
        <v>0</v>
      </c>
      <c r="H554" s="1230"/>
      <c r="I554" s="480" t="s">
        <v>452</v>
      </c>
      <c r="J554" s="1048"/>
      <c r="K554" s="1045"/>
      <c r="L554" s="1180"/>
      <c r="M554" s="1177"/>
      <c r="N554" s="487"/>
      <c r="O554" s="488"/>
      <c r="P554" s="489"/>
      <c r="Q554" s="1324"/>
      <c r="R554" s="1325"/>
      <c r="S554" s="193"/>
      <c r="T554" s="193"/>
    </row>
    <row r="555" spans="2:20" ht="19.5" customHeight="1" thickTop="1">
      <c r="B555" s="1376" t="s">
        <v>118</v>
      </c>
      <c r="C555" s="1376" t="s">
        <v>400</v>
      </c>
      <c r="D555" s="1375" t="s">
        <v>472</v>
      </c>
      <c r="E555" s="908" t="s">
        <v>437</v>
      </c>
      <c r="F555" s="906"/>
      <c r="G555" s="1945">
        <f>G519*L555</f>
        <v>2489</v>
      </c>
      <c r="H555" s="1946"/>
      <c r="I555" s="906" t="s">
        <v>452</v>
      </c>
      <c r="J555" s="1233" t="s">
        <v>351</v>
      </c>
      <c r="K555" s="1050">
        <f ca="1">CELL("row",'記入シート'!C301)</f>
        <v>301</v>
      </c>
      <c r="L555" s="1752">
        <f>$L$32</f>
        <v>19</v>
      </c>
      <c r="M555" s="1630">
        <f>M521</f>
        <v>131</v>
      </c>
      <c r="N555" s="1885" t="s">
        <v>481</v>
      </c>
      <c r="O555" s="1634">
        <f>O582-G560</f>
        <v>0</v>
      </c>
      <c r="P555" s="1635" t="s">
        <v>453</v>
      </c>
      <c r="Q555" s="1263">
        <f>IF(G559=0,REPT("　",O555*L555),CONCATENATE("①　",'記入シート'!C301,REPT("　",O555*L555+ABS(G561))))</f>
      </c>
      <c r="R555" s="1264"/>
      <c r="S555" s="1264"/>
      <c r="T555" s="1265"/>
    </row>
    <row r="556" spans="2:20" ht="19.5" customHeight="1">
      <c r="B556" s="1370"/>
      <c r="C556" s="1370"/>
      <c r="D556" s="1371"/>
      <c r="E556" s="909" t="s">
        <v>138</v>
      </c>
      <c r="F556" s="891"/>
      <c r="G556" s="1475">
        <f>IF(G555&gt;2,G555-2,0)</f>
        <v>2487</v>
      </c>
      <c r="H556" s="1476"/>
      <c r="I556" s="891" t="s">
        <v>452</v>
      </c>
      <c r="J556" s="1047"/>
      <c r="K556" s="1051"/>
      <c r="L556" s="1179"/>
      <c r="M556" s="1176"/>
      <c r="N556" s="1387"/>
      <c r="O556" s="1381"/>
      <c r="P556" s="1384"/>
      <c r="Q556" s="1266"/>
      <c r="R556" s="1267"/>
      <c r="S556" s="1267"/>
      <c r="T556" s="1268"/>
    </row>
    <row r="557" spans="2:20" ht="19.5" customHeight="1">
      <c r="B557" s="1370"/>
      <c r="C557" s="1370"/>
      <c r="D557" s="1371"/>
      <c r="E557" s="909" t="s">
        <v>149</v>
      </c>
      <c r="F557" s="891"/>
      <c r="G557" s="1475">
        <f>LEN('記入シート'!C301)</f>
        <v>0</v>
      </c>
      <c r="H557" s="1476"/>
      <c r="I557" s="893" t="s">
        <v>452</v>
      </c>
      <c r="J557" s="1047"/>
      <c r="K557" s="1051"/>
      <c r="L557" s="1179"/>
      <c r="M557" s="1176"/>
      <c r="N557" s="1387"/>
      <c r="O557" s="1381"/>
      <c r="P557" s="1384"/>
      <c r="Q557" s="1266"/>
      <c r="R557" s="1267"/>
      <c r="S557" s="1267"/>
      <c r="T557" s="1268"/>
    </row>
    <row r="558" spans="2:20" ht="19.5" customHeight="1">
      <c r="B558" s="1370"/>
      <c r="C558" s="1370"/>
      <c r="D558" s="1371"/>
      <c r="E558" s="909" t="s">
        <v>167</v>
      </c>
      <c r="F558" s="891"/>
      <c r="G558" s="1470" t="str">
        <f>IF(G557&gt;G556,"OVER","INSIDE")</f>
        <v>INSIDE</v>
      </c>
      <c r="H558" s="1471"/>
      <c r="I558" s="1472"/>
      <c r="J558" s="1047"/>
      <c r="K558" s="1051"/>
      <c r="L558" s="1179"/>
      <c r="M558" s="1176"/>
      <c r="N558" s="504"/>
      <c r="O558" s="485"/>
      <c r="P558" s="486"/>
      <c r="Q558" s="1266"/>
      <c r="R558" s="1267"/>
      <c r="S558" s="1267"/>
      <c r="T558" s="1268"/>
    </row>
    <row r="559" spans="2:20" ht="19.5" customHeight="1">
      <c r="B559" s="1370"/>
      <c r="C559" s="1370"/>
      <c r="D559" s="1371"/>
      <c r="E559" s="501" t="s">
        <v>153</v>
      </c>
      <c r="F559" s="476"/>
      <c r="G559" s="1229">
        <f>IF(G557=0,0,IF(G558="OVER",0,G557+2))</f>
        <v>0</v>
      </c>
      <c r="H559" s="1230"/>
      <c r="I559" s="480" t="s">
        <v>452</v>
      </c>
      <c r="J559" s="1047"/>
      <c r="K559" s="1051"/>
      <c r="L559" s="1179"/>
      <c r="M559" s="1176"/>
      <c r="N559" s="505"/>
      <c r="O559" s="488"/>
      <c r="P559" s="489"/>
      <c r="Q559" s="1266"/>
      <c r="R559" s="1267"/>
      <c r="S559" s="1267"/>
      <c r="T559" s="1268"/>
    </row>
    <row r="560" spans="2:20" ht="19.5" customHeight="1">
      <c r="B560" s="1370"/>
      <c r="C560" s="1370"/>
      <c r="D560" s="1371"/>
      <c r="E560" s="506" t="s">
        <v>451</v>
      </c>
      <c r="F560" s="507"/>
      <c r="G560" s="1229">
        <f>ROUNDUP(G559/L555,0)</f>
        <v>0</v>
      </c>
      <c r="H560" s="1230"/>
      <c r="I560" s="480" t="s">
        <v>453</v>
      </c>
      <c r="J560" s="1047"/>
      <c r="K560" s="1051"/>
      <c r="L560" s="1179"/>
      <c r="M560" s="1176"/>
      <c r="N560" s="505"/>
      <c r="O560" s="488"/>
      <c r="P560" s="489"/>
      <c r="Q560" s="1266"/>
      <c r="R560" s="1267"/>
      <c r="S560" s="1267"/>
      <c r="T560" s="1268"/>
    </row>
    <row r="561" spans="2:20" ht="19.5" customHeight="1">
      <c r="B561" s="1370"/>
      <c r="C561" s="1370"/>
      <c r="D561" s="1371"/>
      <c r="E561" s="506" t="s">
        <v>419</v>
      </c>
      <c r="F561" s="507"/>
      <c r="G561" s="1229">
        <f>G559-G560*L555</f>
        <v>0</v>
      </c>
      <c r="H561" s="1230"/>
      <c r="I561" s="480" t="s">
        <v>452</v>
      </c>
      <c r="J561" s="1047"/>
      <c r="K561" s="1051"/>
      <c r="L561" s="1179"/>
      <c r="M561" s="1176"/>
      <c r="N561" s="505"/>
      <c r="O561" s="488"/>
      <c r="P561" s="489"/>
      <c r="Q561" s="1266"/>
      <c r="R561" s="1267"/>
      <c r="S561" s="1267"/>
      <c r="T561" s="1268"/>
    </row>
    <row r="562" spans="2:20" ht="19.5" customHeight="1" thickBot="1">
      <c r="B562" s="1370"/>
      <c r="C562" s="1370"/>
      <c r="D562" s="1371"/>
      <c r="E562" s="877" t="s">
        <v>423</v>
      </c>
      <c r="F562" s="508"/>
      <c r="G562" s="1241">
        <f>G560*L555</f>
        <v>0</v>
      </c>
      <c r="H562" s="1242"/>
      <c r="I562" s="495" t="s">
        <v>452</v>
      </c>
      <c r="J562" s="1047"/>
      <c r="K562" s="1051"/>
      <c r="L562" s="1179"/>
      <c r="M562" s="1176"/>
      <c r="N562" s="505"/>
      <c r="O562" s="488"/>
      <c r="P562" s="489"/>
      <c r="Q562" s="1266"/>
      <c r="R562" s="1267"/>
      <c r="S562" s="1267"/>
      <c r="T562" s="1268"/>
    </row>
    <row r="563" spans="2:20" ht="19.5" customHeight="1">
      <c r="B563" s="1370" t="s">
        <v>264</v>
      </c>
      <c r="C563" s="1376" t="s">
        <v>332</v>
      </c>
      <c r="D563" s="1375" t="s">
        <v>212</v>
      </c>
      <c r="E563" s="500" t="s">
        <v>437</v>
      </c>
      <c r="F563" s="492"/>
      <c r="G563" s="1239">
        <f>J520*L555</f>
        <v>2489</v>
      </c>
      <c r="H563" s="1240"/>
      <c r="I563" s="492" t="s">
        <v>452</v>
      </c>
      <c r="J563" s="1047"/>
      <c r="K563" s="1051"/>
      <c r="L563" s="1179"/>
      <c r="M563" s="1176"/>
      <c r="N563" s="505"/>
      <c r="O563" s="488"/>
      <c r="P563" s="489"/>
      <c r="Q563" s="1266"/>
      <c r="R563" s="1267"/>
      <c r="S563" s="1267"/>
      <c r="T563" s="1268"/>
    </row>
    <row r="564" spans="2:20" ht="19.5" customHeight="1">
      <c r="B564" s="1370"/>
      <c r="C564" s="1370"/>
      <c r="D564" s="1371"/>
      <c r="E564" s="573" t="s">
        <v>138</v>
      </c>
      <c r="F564" s="480"/>
      <c r="G564" s="1206">
        <f>IF(G563&gt;2,G563-2,0)</f>
        <v>2487</v>
      </c>
      <c r="H564" s="1207"/>
      <c r="I564" s="796" t="s">
        <v>452</v>
      </c>
      <c r="J564" s="1047"/>
      <c r="K564" s="1051"/>
      <c r="L564" s="1179"/>
      <c r="M564" s="1176"/>
      <c r="N564" s="505"/>
      <c r="O564" s="488"/>
      <c r="P564" s="489"/>
      <c r="Q564" s="1266"/>
      <c r="R564" s="1267"/>
      <c r="S564" s="1267"/>
      <c r="T564" s="1268"/>
    </row>
    <row r="565" spans="2:20" ht="19.5" customHeight="1">
      <c r="B565" s="1370"/>
      <c r="C565" s="1370"/>
      <c r="D565" s="1371"/>
      <c r="E565" s="501" t="s">
        <v>149</v>
      </c>
      <c r="F565" s="476"/>
      <c r="G565" s="1229">
        <f>LEN('記入シート'!C301)</f>
        <v>0</v>
      </c>
      <c r="H565" s="1230"/>
      <c r="I565" s="480" t="s">
        <v>452</v>
      </c>
      <c r="J565" s="1047"/>
      <c r="K565" s="1051"/>
      <c r="L565" s="1179"/>
      <c r="M565" s="1176"/>
      <c r="N565" s="505"/>
      <c r="O565" s="488"/>
      <c r="P565" s="489"/>
      <c r="Q565" s="1266"/>
      <c r="R565" s="1267"/>
      <c r="S565" s="1267"/>
      <c r="T565" s="1268"/>
    </row>
    <row r="566" spans="2:20" ht="19.5" customHeight="1" thickBot="1">
      <c r="B566" s="1370"/>
      <c r="C566" s="1377"/>
      <c r="D566" s="1379"/>
      <c r="E566" s="907" t="s">
        <v>167</v>
      </c>
      <c r="F566" s="887"/>
      <c r="G566" s="1243" t="str">
        <f>IF(G565&gt;G564,"OVER","INSIDE")</f>
        <v>INSIDE</v>
      </c>
      <c r="H566" s="1244"/>
      <c r="I566" s="1245"/>
      <c r="J566" s="1048"/>
      <c r="K566" s="1045"/>
      <c r="L566" s="1180"/>
      <c r="M566" s="1177"/>
      <c r="N566" s="505"/>
      <c r="O566" s="488"/>
      <c r="P566" s="489"/>
      <c r="Q566" s="1269"/>
      <c r="R566" s="1270"/>
      <c r="S566" s="1270"/>
      <c r="T566" s="1271"/>
    </row>
    <row r="567" spans="2:20" ht="19.5" customHeight="1">
      <c r="B567" s="1370" t="s">
        <v>264</v>
      </c>
      <c r="C567" s="1376"/>
      <c r="D567" s="1375"/>
      <c r="E567" s="670"/>
      <c r="F567" s="878" t="s">
        <v>455</v>
      </c>
      <c r="G567" s="1468">
        <f>LEN(LEFT('記入シート'!C305,L567))</f>
        <v>0</v>
      </c>
      <c r="H567" s="1469"/>
      <c r="I567" s="554" t="s">
        <v>452</v>
      </c>
      <c r="J567" s="1040" t="s">
        <v>352</v>
      </c>
      <c r="K567" s="1050">
        <f ca="1">CELL("row",'記入シート'!C305)</f>
        <v>305</v>
      </c>
      <c r="L567" s="1179">
        <f>$L$40</f>
        <v>6</v>
      </c>
      <c r="M567" s="1176">
        <f>M521</f>
        <v>131</v>
      </c>
      <c r="N567" s="1651" t="s">
        <v>474</v>
      </c>
      <c r="O567" s="1634">
        <f>SUM(G567:H574)</f>
        <v>0</v>
      </c>
      <c r="P567" s="1886" t="s">
        <v>452</v>
      </c>
      <c r="Q567" s="1554">
        <f>IF(O572=0,REPT("　",O582*L567),CONCATENATE(LEFT('記入シート'!C305,L567),REPT("　",G568),LEFT('記入シート'!C306,L567),REPT("　",G570),LEFT('記入シート'!C307,L567),REPT("　",G572),LEFT('記入シート'!C308,L567),REPT("　",G574),REPT("　",L567*O574)))</f>
      </c>
      <c r="R567" s="313"/>
      <c r="S567" s="313"/>
      <c r="T567" s="313"/>
    </row>
    <row r="568" spans="2:20" ht="19.5" customHeight="1">
      <c r="B568" s="1370"/>
      <c r="C568" s="1370"/>
      <c r="D568" s="1371"/>
      <c r="E568" s="670"/>
      <c r="F568" s="510" t="s">
        <v>458</v>
      </c>
      <c r="G568" s="1229">
        <f>IF(G567=0,0,$L$40-G567)</f>
        <v>0</v>
      </c>
      <c r="H568" s="1230"/>
      <c r="I568" s="495" t="s">
        <v>452</v>
      </c>
      <c r="J568" s="1172"/>
      <c r="K568" s="1051"/>
      <c r="L568" s="1179"/>
      <c r="M568" s="1176"/>
      <c r="N568" s="1652"/>
      <c r="O568" s="1381"/>
      <c r="P568" s="1654"/>
      <c r="Q568" s="1554"/>
      <c r="R568" s="313"/>
      <c r="S568" s="313"/>
      <c r="T568" s="313"/>
    </row>
    <row r="569" spans="2:20" ht="19.5" customHeight="1">
      <c r="B569" s="1370"/>
      <c r="C569" s="1370"/>
      <c r="D569" s="1371"/>
      <c r="E569" s="670"/>
      <c r="F569" s="510" t="s">
        <v>456</v>
      </c>
      <c r="G569" s="1229">
        <f>LEN(LEFT('記入シート'!C306,L567))</f>
        <v>0</v>
      </c>
      <c r="H569" s="1230"/>
      <c r="I569" s="495" t="s">
        <v>452</v>
      </c>
      <c r="J569" s="1172" t="s">
        <v>352</v>
      </c>
      <c r="K569" s="1044">
        <f ca="1">CELL("row",'記入シート'!C306)</f>
        <v>306</v>
      </c>
      <c r="L569" s="1179"/>
      <c r="M569" s="1176"/>
      <c r="N569" s="1652"/>
      <c r="O569" s="1381"/>
      <c r="P569" s="1654"/>
      <c r="Q569" s="1554"/>
      <c r="R569" s="313"/>
      <c r="S569" s="313"/>
      <c r="T569" s="313"/>
    </row>
    <row r="570" spans="2:20" ht="19.5" customHeight="1">
      <c r="B570" s="1370"/>
      <c r="C570" s="1370"/>
      <c r="D570" s="1371"/>
      <c r="E570" s="511" t="s">
        <v>401</v>
      </c>
      <c r="F570" s="510" t="s">
        <v>459</v>
      </c>
      <c r="G570" s="1229">
        <f>IF(G569=0,0,$L$40-G569)</f>
        <v>0</v>
      </c>
      <c r="H570" s="1230"/>
      <c r="I570" s="495" t="s">
        <v>452</v>
      </c>
      <c r="J570" s="1172"/>
      <c r="K570" s="1044"/>
      <c r="L570" s="1179"/>
      <c r="M570" s="1176"/>
      <c r="N570" s="1652"/>
      <c r="O570" s="1381"/>
      <c r="P570" s="1654"/>
      <c r="Q570" s="1549"/>
      <c r="R570" s="313"/>
      <c r="S570" s="313"/>
      <c r="T570" s="313"/>
    </row>
    <row r="571" spans="2:20" ht="19.5" customHeight="1">
      <c r="B571" s="1370"/>
      <c r="C571" s="1370"/>
      <c r="D571" s="1371"/>
      <c r="E571" s="511" t="s">
        <v>283</v>
      </c>
      <c r="F571" s="512" t="s">
        <v>475</v>
      </c>
      <c r="G571" s="1229">
        <f>LEN(LEFT('記入シート'!C307,L567))</f>
        <v>0</v>
      </c>
      <c r="H571" s="1230"/>
      <c r="I571" s="495" t="s">
        <v>452</v>
      </c>
      <c r="J571" s="1046" t="s">
        <v>352</v>
      </c>
      <c r="K571" s="1044">
        <f ca="1">CELL("row",'記入シート'!C307)</f>
        <v>307</v>
      </c>
      <c r="L571" s="1179"/>
      <c r="M571" s="1176"/>
      <c r="N571" s="1653"/>
      <c r="O571" s="1382"/>
      <c r="P571" s="1655"/>
      <c r="Q571" s="320"/>
      <c r="R571" s="313"/>
      <c r="S571" s="313"/>
      <c r="T571" s="313"/>
    </row>
    <row r="572" spans="2:20" ht="19.5" customHeight="1">
      <c r="B572" s="1370"/>
      <c r="C572" s="1370"/>
      <c r="D572" s="1371"/>
      <c r="E572" s="670"/>
      <c r="F572" s="512" t="s">
        <v>476</v>
      </c>
      <c r="G572" s="1229">
        <f>IF(G571=0,0,$L$40-G571)</f>
        <v>0</v>
      </c>
      <c r="H572" s="1230"/>
      <c r="I572" s="495" t="s">
        <v>452</v>
      </c>
      <c r="J572" s="1040"/>
      <c r="K572" s="1044"/>
      <c r="L572" s="1179"/>
      <c r="M572" s="1176"/>
      <c r="N572" s="1641" t="s">
        <v>480</v>
      </c>
      <c r="O572" s="1628">
        <f>O567/$L$40</f>
        <v>0</v>
      </c>
      <c r="P572" s="1629" t="s">
        <v>453</v>
      </c>
      <c r="Q572" s="320"/>
      <c r="R572" s="313"/>
      <c r="S572" s="313"/>
      <c r="T572" s="313"/>
    </row>
    <row r="573" spans="2:20" ht="19.5" customHeight="1">
      <c r="B573" s="1370"/>
      <c r="C573" s="1370"/>
      <c r="D573" s="1371"/>
      <c r="E573" s="670"/>
      <c r="F573" s="512" t="s">
        <v>477</v>
      </c>
      <c r="G573" s="1229">
        <f>LEN(LEFT('記入シート'!C308,L567))</f>
        <v>0</v>
      </c>
      <c r="H573" s="1230"/>
      <c r="I573" s="495" t="s">
        <v>452</v>
      </c>
      <c r="J573" s="1046" t="s">
        <v>352</v>
      </c>
      <c r="K573" s="1044">
        <f ca="1">CELL("row",'記入シート'!C308)</f>
        <v>308</v>
      </c>
      <c r="L573" s="1179"/>
      <c r="M573" s="1176"/>
      <c r="N573" s="1388"/>
      <c r="O573" s="1382"/>
      <c r="P573" s="1385"/>
      <c r="Q573" s="995"/>
      <c r="R573" s="313"/>
      <c r="S573" s="313"/>
      <c r="T573" s="313"/>
    </row>
    <row r="574" spans="2:20" ht="19.5" customHeight="1">
      <c r="B574" s="1370"/>
      <c r="C574" s="1370"/>
      <c r="D574" s="1371"/>
      <c r="E574" s="670"/>
      <c r="F574" s="512" t="s">
        <v>478</v>
      </c>
      <c r="G574" s="1229">
        <f>IF(G573=0,0,$L$40-G573)</f>
        <v>0</v>
      </c>
      <c r="H574" s="1230"/>
      <c r="I574" s="480" t="s">
        <v>452</v>
      </c>
      <c r="J574" s="1040"/>
      <c r="K574" s="1044"/>
      <c r="L574" s="1887"/>
      <c r="M574" s="1631"/>
      <c r="N574" s="516" t="s">
        <v>482</v>
      </c>
      <c r="O574" s="517">
        <f>O582-O572</f>
        <v>0</v>
      </c>
      <c r="P574" s="502" t="s">
        <v>453</v>
      </c>
      <c r="Q574" s="995"/>
      <c r="R574" s="313"/>
      <c r="S574" s="313"/>
      <c r="T574" s="313"/>
    </row>
    <row r="575" spans="2:20" ht="19.5" customHeight="1">
      <c r="B575" s="1370"/>
      <c r="C575" s="1370"/>
      <c r="D575" s="1371"/>
      <c r="E575" s="518"/>
      <c r="F575" s="499"/>
      <c r="G575" s="499"/>
      <c r="H575" s="499"/>
      <c r="I575" s="499"/>
      <c r="J575" s="1028"/>
      <c r="K575" s="532"/>
      <c r="L575" s="519"/>
      <c r="M575" s="520"/>
      <c r="N575" s="1647" t="s">
        <v>124</v>
      </c>
      <c r="O575" s="1620" t="str">
        <f>IF(O572&gt;G563/L555,"OVER","INSIDE")</f>
        <v>INSIDE</v>
      </c>
      <c r="P575" s="1621"/>
      <c r="Q575" s="424"/>
      <c r="R575" s="419"/>
      <c r="S575" s="419"/>
      <c r="T575" s="419"/>
    </row>
    <row r="576" spans="2:20" ht="19.5" customHeight="1" thickBot="1">
      <c r="B576" s="1370"/>
      <c r="C576" s="1370"/>
      <c r="D576" s="1371"/>
      <c r="E576" s="521"/>
      <c r="F576" s="522"/>
      <c r="G576" s="522"/>
      <c r="H576" s="522"/>
      <c r="I576" s="522"/>
      <c r="J576" s="1029"/>
      <c r="K576" s="560"/>
      <c r="L576" s="523"/>
      <c r="M576" s="524"/>
      <c r="N576" s="1648"/>
      <c r="O576" s="1622"/>
      <c r="P576" s="1623"/>
      <c r="Q576" s="424"/>
      <c r="R576" s="419"/>
      <c r="S576" s="419"/>
      <c r="T576" s="419"/>
    </row>
    <row r="577" spans="2:20" ht="19.5" customHeight="1">
      <c r="B577" s="1370" t="s">
        <v>264</v>
      </c>
      <c r="C577" s="1370"/>
      <c r="D577" s="1371"/>
      <c r="E577" s="671"/>
      <c r="F577" s="526" t="s">
        <v>455</v>
      </c>
      <c r="G577" s="1239">
        <f>LEN(LEFT('記入シート'!C311,L577))</f>
        <v>0</v>
      </c>
      <c r="H577" s="1240"/>
      <c r="I577" s="527" t="s">
        <v>452</v>
      </c>
      <c r="J577" s="1228" t="s">
        <v>352</v>
      </c>
      <c r="K577" s="1050">
        <f ca="1">CELL("row",'記入シート'!C311)</f>
        <v>311</v>
      </c>
      <c r="L577" s="1752">
        <f>$L$49</f>
        <v>6</v>
      </c>
      <c r="M577" s="1888">
        <f>M521</f>
        <v>131</v>
      </c>
      <c r="N577" s="1651" t="s">
        <v>484</v>
      </c>
      <c r="O577" s="1634">
        <f>SUM(G577:H580)</f>
        <v>0</v>
      </c>
      <c r="P577" s="1635" t="s">
        <v>452</v>
      </c>
      <c r="Q577" s="1548">
        <f>IF(O580=0,REPT("　",O582*L577),CONCATENATE(LEFT('記入シート'!C311,L577),REPT("　",G578),LEFT('記入シート'!C312,L577),REPT("　",G580),REPT("　",L577*O585)))</f>
      </c>
      <c r="R577" s="419"/>
      <c r="S577" s="419"/>
      <c r="T577" s="419"/>
    </row>
    <row r="578" spans="2:20" ht="19.5" customHeight="1">
      <c r="B578" s="1370"/>
      <c r="C578" s="1370"/>
      <c r="D578" s="1371"/>
      <c r="E578" s="511" t="s">
        <v>402</v>
      </c>
      <c r="F578" s="508" t="s">
        <v>458</v>
      </c>
      <c r="G578" s="1229">
        <f>IF(G577=0,0,$L$49-G577)</f>
        <v>0</v>
      </c>
      <c r="H578" s="1230"/>
      <c r="I578" s="495" t="s">
        <v>452</v>
      </c>
      <c r="J578" s="1172"/>
      <c r="K578" s="1051"/>
      <c r="L578" s="1179"/>
      <c r="M578" s="1889"/>
      <c r="N578" s="1652"/>
      <c r="O578" s="1381"/>
      <c r="P578" s="1384"/>
      <c r="Q578" s="1549"/>
      <c r="R578" s="419"/>
      <c r="S578" s="419"/>
      <c r="T578" s="419"/>
    </row>
    <row r="579" spans="2:20" ht="19.5" customHeight="1">
      <c r="B579" s="1370"/>
      <c r="C579" s="1370"/>
      <c r="D579" s="1371"/>
      <c r="E579" s="511" t="s">
        <v>283</v>
      </c>
      <c r="F579" s="508" t="s">
        <v>456</v>
      </c>
      <c r="G579" s="528"/>
      <c r="H579" s="529">
        <f>LEN(LEFT('記入シート'!C312,L577))</f>
        <v>0</v>
      </c>
      <c r="I579" s="495" t="s">
        <v>452</v>
      </c>
      <c r="J579" s="1046" t="s">
        <v>352</v>
      </c>
      <c r="K579" s="1059">
        <f ca="1">CELL("row",'記入シート'!C312)</f>
        <v>312</v>
      </c>
      <c r="L579" s="1179"/>
      <c r="M579" s="1889"/>
      <c r="N579" s="1653"/>
      <c r="O579" s="1382"/>
      <c r="P579" s="1385"/>
      <c r="Q579" s="424"/>
      <c r="R579" s="419"/>
      <c r="S579" s="419"/>
      <c r="T579" s="419"/>
    </row>
    <row r="580" spans="2:20" ht="19.5" customHeight="1">
      <c r="B580" s="1370"/>
      <c r="C580" s="1370"/>
      <c r="D580" s="1371"/>
      <c r="E580" s="670"/>
      <c r="F580" s="507" t="s">
        <v>459</v>
      </c>
      <c r="G580" s="1229">
        <f>IF(H579=0,0,$L$49-H579)</f>
        <v>0</v>
      </c>
      <c r="H580" s="1230"/>
      <c r="I580" s="480" t="s">
        <v>452</v>
      </c>
      <c r="J580" s="1040"/>
      <c r="K580" s="1060"/>
      <c r="L580" s="1887"/>
      <c r="M580" s="1889"/>
      <c r="N580" s="1641" t="s">
        <v>479</v>
      </c>
      <c r="O580" s="1628">
        <f>O577/$L$49</f>
        <v>0</v>
      </c>
      <c r="P580" s="1629" t="s">
        <v>453</v>
      </c>
      <c r="Q580" s="424"/>
      <c r="R580" s="419"/>
      <c r="S580" s="419"/>
      <c r="T580" s="419"/>
    </row>
    <row r="581" spans="2:20" ht="19.5" customHeight="1">
      <c r="B581" s="1370"/>
      <c r="C581" s="1370"/>
      <c r="D581" s="1371"/>
      <c r="E581" s="531"/>
      <c r="F581" s="528"/>
      <c r="G581" s="528"/>
      <c r="H581" s="529"/>
      <c r="I581" s="532"/>
      <c r="J581" s="1028"/>
      <c r="K581" s="532"/>
      <c r="L581" s="533"/>
      <c r="M581" s="534"/>
      <c r="N581" s="1387"/>
      <c r="O581" s="1381"/>
      <c r="P581" s="1384"/>
      <c r="Q581" s="424"/>
      <c r="R581" s="419"/>
      <c r="S581" s="419"/>
      <c r="T581" s="419"/>
    </row>
    <row r="582" spans="2:20" ht="19.5" customHeight="1">
      <c r="B582" s="1370"/>
      <c r="C582" s="1370"/>
      <c r="D582" s="1371"/>
      <c r="E582" s="531"/>
      <c r="F582" s="535"/>
      <c r="G582" s="535"/>
      <c r="H582" s="536"/>
      <c r="I582" s="537"/>
      <c r="J582" s="1030"/>
      <c r="K582" s="537"/>
      <c r="L582" s="539"/>
      <c r="M582" s="540"/>
      <c r="N582" s="1641" t="s">
        <v>483</v>
      </c>
      <c r="O582" s="1628">
        <f>MAX(G560,O572,O580)</f>
        <v>0</v>
      </c>
      <c r="P582" s="1629" t="s">
        <v>453</v>
      </c>
      <c r="Q582" s="424"/>
      <c r="R582" s="419"/>
      <c r="S582" s="419"/>
      <c r="T582" s="419"/>
    </row>
    <row r="583" spans="2:20" ht="19.5" customHeight="1">
      <c r="B583" s="1370"/>
      <c r="C583" s="1370"/>
      <c r="D583" s="1371"/>
      <c r="E583" s="531"/>
      <c r="F583" s="535"/>
      <c r="G583" s="535"/>
      <c r="H583" s="536"/>
      <c r="I583" s="537"/>
      <c r="J583" s="1030"/>
      <c r="K583" s="537"/>
      <c r="L583" s="539"/>
      <c r="M583" s="540"/>
      <c r="N583" s="1387"/>
      <c r="O583" s="1381"/>
      <c r="P583" s="1384"/>
      <c r="Q583" s="424"/>
      <c r="R583" s="419"/>
      <c r="S583" s="419"/>
      <c r="T583" s="419"/>
    </row>
    <row r="584" spans="2:20" ht="19.5" customHeight="1">
      <c r="B584" s="1370"/>
      <c r="C584" s="1370"/>
      <c r="D584" s="1371"/>
      <c r="E584" s="531"/>
      <c r="F584" s="535"/>
      <c r="G584" s="535"/>
      <c r="H584" s="536"/>
      <c r="I584" s="537"/>
      <c r="J584" s="1030"/>
      <c r="K584" s="537"/>
      <c r="L584" s="539"/>
      <c r="M584" s="540"/>
      <c r="N584" s="1388"/>
      <c r="O584" s="1382"/>
      <c r="P584" s="1385"/>
      <c r="Q584" s="424"/>
      <c r="R584" s="419"/>
      <c r="S584" s="419"/>
      <c r="T584" s="419"/>
    </row>
    <row r="585" spans="2:20" ht="19.5" customHeight="1">
      <c r="B585" s="1370"/>
      <c r="C585" s="1370"/>
      <c r="D585" s="1371"/>
      <c r="E585" s="531"/>
      <c r="F585" s="535"/>
      <c r="G585" s="535"/>
      <c r="H585" s="536"/>
      <c r="I585" s="537"/>
      <c r="J585" s="1030"/>
      <c r="K585" s="537"/>
      <c r="L585" s="539"/>
      <c r="M585" s="540"/>
      <c r="N585" s="514" t="s">
        <v>485</v>
      </c>
      <c r="O585" s="488">
        <f>O582-O580</f>
        <v>0</v>
      </c>
      <c r="P585" s="502" t="s">
        <v>453</v>
      </c>
      <c r="Q585" s="424"/>
      <c r="R585" s="419"/>
      <c r="S585" s="419"/>
      <c r="T585" s="419"/>
    </row>
    <row r="586" spans="2:20" ht="19.5" customHeight="1">
      <c r="B586" s="1370"/>
      <c r="C586" s="1370"/>
      <c r="D586" s="1371"/>
      <c r="E586" s="531"/>
      <c r="F586" s="535"/>
      <c r="G586" s="535"/>
      <c r="H586" s="536"/>
      <c r="I586" s="537"/>
      <c r="J586" s="1030"/>
      <c r="K586" s="537"/>
      <c r="L586" s="539"/>
      <c r="M586" s="540"/>
      <c r="N586" s="1647" t="s">
        <v>125</v>
      </c>
      <c r="O586" s="1620" t="str">
        <f>IF(O580&gt;G563/L555,"OVER","INSIDE")</f>
        <v>INSIDE</v>
      </c>
      <c r="P586" s="1621"/>
      <c r="Q586" s="424"/>
      <c r="R586" s="419"/>
      <c r="S586" s="419"/>
      <c r="T586" s="419"/>
    </row>
    <row r="587" spans="2:20" ht="19.5" customHeight="1" thickBot="1">
      <c r="B587" s="1370"/>
      <c r="C587" s="1370"/>
      <c r="D587" s="1371"/>
      <c r="E587" s="531"/>
      <c r="F587" s="535"/>
      <c r="G587" s="535"/>
      <c r="H587" s="536"/>
      <c r="I587" s="537"/>
      <c r="J587" s="1030"/>
      <c r="K587" s="537"/>
      <c r="L587" s="539"/>
      <c r="M587" s="540"/>
      <c r="N587" s="1648"/>
      <c r="O587" s="1622"/>
      <c r="P587" s="1623"/>
      <c r="Q587" s="424"/>
      <c r="R587" s="419"/>
      <c r="S587" s="419"/>
      <c r="T587" s="419"/>
    </row>
    <row r="588" spans="2:20" ht="19.5" customHeight="1">
      <c r="B588" s="1370" t="s">
        <v>264</v>
      </c>
      <c r="C588" s="1370"/>
      <c r="D588" s="1371"/>
      <c r="E588" s="671"/>
      <c r="F588" s="541" t="s">
        <v>1</v>
      </c>
      <c r="G588" s="1239">
        <f>LEN(LEFT('記入シート'!D315,2))</f>
        <v>0</v>
      </c>
      <c r="H588" s="1240"/>
      <c r="I588" s="527" t="s">
        <v>452</v>
      </c>
      <c r="J588" s="1228" t="s">
        <v>353</v>
      </c>
      <c r="K588" s="1043">
        <f ca="1">CELL("row",'記入シート'!D315)</f>
        <v>315</v>
      </c>
      <c r="L588" s="1890">
        <v>2</v>
      </c>
      <c r="M588" s="1888">
        <f>M521</f>
        <v>131</v>
      </c>
      <c r="N588" s="1649" t="s">
        <v>8</v>
      </c>
      <c r="O588" s="1634">
        <f>IF(G588=0,0,1)</f>
        <v>0</v>
      </c>
      <c r="P588" s="1635" t="s">
        <v>453</v>
      </c>
      <c r="Q588" s="503" t="s">
        <v>6</v>
      </c>
      <c r="R588" s="419"/>
      <c r="S588" s="419"/>
      <c r="T588" s="419"/>
    </row>
    <row r="589" spans="2:20" ht="19.5" customHeight="1">
      <c r="B589" s="1370"/>
      <c r="C589" s="1370"/>
      <c r="D589" s="1371"/>
      <c r="E589" s="670"/>
      <c r="F589" s="508" t="s">
        <v>2</v>
      </c>
      <c r="G589" s="1229">
        <f>$L$58-G588</f>
        <v>2</v>
      </c>
      <c r="H589" s="1230"/>
      <c r="I589" s="495" t="s">
        <v>452</v>
      </c>
      <c r="J589" s="1172"/>
      <c r="K589" s="1060"/>
      <c r="L589" s="1637"/>
      <c r="M589" s="1891"/>
      <c r="N589" s="1646"/>
      <c r="O589" s="1382"/>
      <c r="P589" s="1385"/>
      <c r="Q589" s="986">
        <f>IF(G559=0,"",IF(O588=0,REPT("　",5*O590),CONCATENATE(REPT("　",G589),LEFT('記入シート'!D315,L588),"／",REPT("　",G591),LEFT('記入シート'!G315,L590),REPT("　",5*O590))))</f>
      </c>
      <c r="R589" s="419"/>
      <c r="S589" s="419"/>
      <c r="T589" s="419"/>
    </row>
    <row r="590" spans="2:20" ht="19.5" customHeight="1">
      <c r="B590" s="1370"/>
      <c r="C590" s="1370"/>
      <c r="D590" s="1371"/>
      <c r="E590" s="670"/>
      <c r="F590" s="508" t="s">
        <v>3</v>
      </c>
      <c r="G590" s="1229">
        <f>LEN(LEFT('記入シート'!G315,2))</f>
        <v>0</v>
      </c>
      <c r="H590" s="1230"/>
      <c r="I590" s="495" t="s">
        <v>452</v>
      </c>
      <c r="J590" s="1172" t="s">
        <v>354</v>
      </c>
      <c r="K590" s="1059">
        <f ca="1">CELL("row",'記入シート'!G315)</f>
        <v>315</v>
      </c>
      <c r="L590" s="1637">
        <v>2</v>
      </c>
      <c r="M590" s="1889">
        <f>M521</f>
        <v>131</v>
      </c>
      <c r="N590" s="542" t="s">
        <v>9</v>
      </c>
      <c r="O590" s="543">
        <f>IF(O582=0,0,O582-O588)</f>
        <v>0</v>
      </c>
      <c r="P590" s="513" t="s">
        <v>453</v>
      </c>
      <c r="Q590" s="987"/>
      <c r="R590" s="419"/>
      <c r="S590" s="419"/>
      <c r="T590" s="419"/>
    </row>
    <row r="591" spans="2:20" ht="19.5" customHeight="1">
      <c r="B591" s="1370"/>
      <c r="C591" s="1370"/>
      <c r="D591" s="1371"/>
      <c r="E591" s="511" t="s">
        <v>403</v>
      </c>
      <c r="F591" s="508" t="s">
        <v>461</v>
      </c>
      <c r="G591" s="1229">
        <f>$L$60-G590</f>
        <v>2</v>
      </c>
      <c r="H591" s="1230"/>
      <c r="I591" s="495" t="s">
        <v>452</v>
      </c>
      <c r="J591" s="1172"/>
      <c r="K591" s="1060"/>
      <c r="L591" s="1637"/>
      <c r="M591" s="1889"/>
      <c r="N591" s="487"/>
      <c r="O591" s="488"/>
      <c r="P591" s="489"/>
      <c r="Q591" s="988"/>
      <c r="R591" s="419"/>
      <c r="S591" s="419"/>
      <c r="T591" s="419"/>
    </row>
    <row r="592" spans="2:20" ht="19.5" customHeight="1">
      <c r="B592" s="1370"/>
      <c r="C592" s="1370"/>
      <c r="D592" s="1371"/>
      <c r="E592" s="511" t="s">
        <v>283</v>
      </c>
      <c r="F592" s="508" t="s">
        <v>4</v>
      </c>
      <c r="G592" s="1229">
        <f>LEN(LEFT('記入シート'!N315,2))</f>
        <v>0</v>
      </c>
      <c r="H592" s="1230"/>
      <c r="I592" s="495" t="s">
        <v>452</v>
      </c>
      <c r="J592" s="1172" t="s">
        <v>355</v>
      </c>
      <c r="K592" s="1059">
        <f ca="1">CELL("row",'記入シート'!N315)</f>
        <v>315</v>
      </c>
      <c r="L592" s="1637">
        <v>2</v>
      </c>
      <c r="M592" s="1889">
        <f>M521</f>
        <v>131</v>
      </c>
      <c r="N592" s="1645" t="s">
        <v>178</v>
      </c>
      <c r="O592" s="1628">
        <f>IF(G592=0,0,1)</f>
        <v>0</v>
      </c>
      <c r="P592" s="1629" t="s">
        <v>453</v>
      </c>
      <c r="Q592" s="503" t="s">
        <v>7</v>
      </c>
      <c r="R592" s="419"/>
      <c r="S592" s="419"/>
      <c r="T592" s="419"/>
    </row>
    <row r="593" spans="2:20" ht="19.5" customHeight="1">
      <c r="B593" s="1370"/>
      <c r="C593" s="1370"/>
      <c r="D593" s="1371"/>
      <c r="E593" s="511"/>
      <c r="F593" s="508" t="s">
        <v>5</v>
      </c>
      <c r="G593" s="1229">
        <f>$L$62-G592</f>
        <v>2</v>
      </c>
      <c r="H593" s="1230"/>
      <c r="I593" s="495" t="s">
        <v>452</v>
      </c>
      <c r="J593" s="1172"/>
      <c r="K593" s="1060"/>
      <c r="L593" s="1637"/>
      <c r="M593" s="1889"/>
      <c r="N593" s="1646"/>
      <c r="O593" s="1382"/>
      <c r="P593" s="1385"/>
      <c r="Q593" s="986">
        <f>IF(G559=0,"",IF(O592=0,REPT("　",5*O594),CONCATENATE(REPT("　",G593),LEFT('記入シート'!N315,L592),"／",REPT("　",G595),LEFT('記入シート'!Q315,L594),REPT("　",5*O594))))</f>
      </c>
      <c r="R593" s="419"/>
      <c r="S593" s="419"/>
      <c r="T593" s="419"/>
    </row>
    <row r="594" spans="2:20" ht="19.5" customHeight="1">
      <c r="B594" s="1370"/>
      <c r="C594" s="1370"/>
      <c r="D594" s="1371"/>
      <c r="E594" s="511"/>
      <c r="F594" s="508" t="s">
        <v>462</v>
      </c>
      <c r="G594" s="1229">
        <f>LEN(LEFT('記入シート'!Q315,2))</f>
        <v>0</v>
      </c>
      <c r="H594" s="1230"/>
      <c r="I594" s="495" t="s">
        <v>452</v>
      </c>
      <c r="J594" s="1172" t="s">
        <v>356</v>
      </c>
      <c r="K594" s="1059">
        <f ca="1">CELL("row",'記入シート'!Q315)</f>
        <v>315</v>
      </c>
      <c r="L594" s="1637">
        <v>2</v>
      </c>
      <c r="M594" s="1889">
        <f>M521</f>
        <v>131</v>
      </c>
      <c r="N594" s="542" t="s">
        <v>179</v>
      </c>
      <c r="O594" s="543">
        <f>IF(O582=0,0,O582-O592)</f>
        <v>0</v>
      </c>
      <c r="P594" s="513" t="s">
        <v>453</v>
      </c>
      <c r="Q594" s="987"/>
      <c r="R594" s="419"/>
      <c r="S594" s="419"/>
      <c r="T594" s="419"/>
    </row>
    <row r="595" spans="2:20" ht="19.5" customHeight="1" thickBot="1">
      <c r="B595" s="1370"/>
      <c r="C595" s="1370"/>
      <c r="D595" s="1371"/>
      <c r="E595" s="566"/>
      <c r="F595" s="508" t="s">
        <v>463</v>
      </c>
      <c r="G595" s="1446">
        <f>$L$64-G594</f>
        <v>2</v>
      </c>
      <c r="H595" s="1447"/>
      <c r="I595" s="495" t="s">
        <v>452</v>
      </c>
      <c r="J595" s="1636"/>
      <c r="K595" s="1049"/>
      <c r="L595" s="1638"/>
      <c r="M595" s="1891"/>
      <c r="N595" s="487"/>
      <c r="O595" s="488"/>
      <c r="P595" s="489"/>
      <c r="Q595" s="989"/>
      <c r="R595" s="419"/>
      <c r="S595" s="419"/>
      <c r="T595" s="419"/>
    </row>
    <row r="596" spans="2:20" ht="19.5" customHeight="1">
      <c r="B596" s="1370"/>
      <c r="C596" s="1370"/>
      <c r="D596" s="1371"/>
      <c r="E596" s="525" t="s">
        <v>404</v>
      </c>
      <c r="F596" s="526" t="s">
        <v>420</v>
      </c>
      <c r="G596" s="544"/>
      <c r="H596" s="493">
        <f>LEN(LEFT('記入シート'!C318,L596))</f>
        <v>0</v>
      </c>
      <c r="I596" s="527" t="s">
        <v>452</v>
      </c>
      <c r="J596" s="1233" t="s">
        <v>352</v>
      </c>
      <c r="K596" s="1050">
        <f ca="1">CELL("row",'記入シート'!C318)</f>
        <v>318</v>
      </c>
      <c r="L596" s="1752">
        <v>1</v>
      </c>
      <c r="M596" s="1630">
        <f>M521</f>
        <v>131</v>
      </c>
      <c r="N596" s="1649" t="s">
        <v>10</v>
      </c>
      <c r="O596" s="1634">
        <f>IF(H596=0,0,1)</f>
        <v>0</v>
      </c>
      <c r="P596" s="1635" t="s">
        <v>453</v>
      </c>
      <c r="Q596" s="639">
        <f>IF(G557=0,"",CONCATENATE(LEFT('記入シート'!C318,1),REPT("　",O598)))</f>
      </c>
      <c r="R596" s="419"/>
      <c r="S596" s="419"/>
      <c r="T596" s="419"/>
    </row>
    <row r="597" spans="2:20" ht="19.5" customHeight="1">
      <c r="B597" s="1370"/>
      <c r="C597" s="1370"/>
      <c r="D597" s="1371"/>
      <c r="E597" s="511" t="s">
        <v>283</v>
      </c>
      <c r="F597" s="508" t="s">
        <v>460</v>
      </c>
      <c r="G597" s="528"/>
      <c r="H597" s="529">
        <f>$L$66-H596</f>
        <v>1</v>
      </c>
      <c r="I597" s="495" t="s">
        <v>452</v>
      </c>
      <c r="J597" s="1047"/>
      <c r="K597" s="1051"/>
      <c r="L597" s="1179"/>
      <c r="M597" s="1176"/>
      <c r="N597" s="1646"/>
      <c r="O597" s="1382"/>
      <c r="P597" s="1385"/>
      <c r="Q597" s="424"/>
      <c r="R597" s="419"/>
      <c r="S597" s="419"/>
      <c r="T597" s="419"/>
    </row>
    <row r="598" spans="2:20" ht="19.5" customHeight="1" thickBot="1">
      <c r="B598" s="1373"/>
      <c r="C598" s="1373"/>
      <c r="D598" s="1372"/>
      <c r="E598" s="672"/>
      <c r="F598" s="545" t="s">
        <v>158</v>
      </c>
      <c r="G598" s="546" t="s">
        <v>159</v>
      </c>
      <c r="H598" s="452">
        <f>WIDECHAR('記入シート'!C318)</f>
      </c>
      <c r="I598" s="547" t="s">
        <v>160</v>
      </c>
      <c r="J598" s="1899"/>
      <c r="K598" s="1052"/>
      <c r="L598" s="1894"/>
      <c r="M598" s="1892"/>
      <c r="N598" s="548" t="s">
        <v>486</v>
      </c>
      <c r="O598" s="549">
        <f>IF(O582=0,0,O582-O596)</f>
        <v>0</v>
      </c>
      <c r="P598" s="489" t="s">
        <v>453</v>
      </c>
      <c r="Q598" s="424"/>
      <c r="R598" s="419"/>
      <c r="S598" s="419"/>
      <c r="T598" s="419"/>
    </row>
    <row r="599" spans="2:20" ht="19.5" customHeight="1" thickTop="1">
      <c r="B599" s="1374" t="s">
        <v>194</v>
      </c>
      <c r="C599" s="1374" t="s">
        <v>400</v>
      </c>
      <c r="D599" s="1378" t="s">
        <v>487</v>
      </c>
      <c r="E599" s="908" t="s">
        <v>437</v>
      </c>
      <c r="F599" s="906"/>
      <c r="G599" s="1473">
        <f>IF(G555-G562-O555*L599&lt;0,0,G555-G562-O555*L599)</f>
        <v>2489</v>
      </c>
      <c r="H599" s="1474"/>
      <c r="I599" s="906" t="s">
        <v>452</v>
      </c>
      <c r="J599" s="1233" t="s">
        <v>351</v>
      </c>
      <c r="K599" s="1050">
        <f ca="1">CELL("row",'記入シート'!C323)</f>
        <v>323</v>
      </c>
      <c r="L599" s="1234">
        <f>$L$32</f>
        <v>19</v>
      </c>
      <c r="M599" s="1235">
        <f>G607/L599</f>
        <v>131</v>
      </c>
      <c r="N599" s="1386" t="s">
        <v>481</v>
      </c>
      <c r="O599" s="1380">
        <f>O626-G604</f>
        <v>0</v>
      </c>
      <c r="P599" s="1383" t="s">
        <v>453</v>
      </c>
      <c r="Q599" s="1263">
        <f>IF(G603=0,REPT("　",O599*L599),CONCATENATE("②　",'記入シート'!C323,REPT("　",O599*L599+ABS(G605))))</f>
      </c>
      <c r="R599" s="1264"/>
      <c r="S599" s="1264"/>
      <c r="T599" s="1265"/>
    </row>
    <row r="600" spans="2:20" ht="19.5" customHeight="1">
      <c r="B600" s="1370"/>
      <c r="C600" s="1370"/>
      <c r="D600" s="1371"/>
      <c r="E600" s="909" t="s">
        <v>135</v>
      </c>
      <c r="F600" s="891"/>
      <c r="G600" s="1475">
        <f>IF(G599&gt;2,G599-2,0)</f>
        <v>2487</v>
      </c>
      <c r="H600" s="1476"/>
      <c r="I600" s="891" t="s">
        <v>452</v>
      </c>
      <c r="J600" s="1047"/>
      <c r="K600" s="1051"/>
      <c r="L600" s="1179"/>
      <c r="M600" s="1176"/>
      <c r="N600" s="1387"/>
      <c r="O600" s="1381"/>
      <c r="P600" s="1384"/>
      <c r="Q600" s="1266"/>
      <c r="R600" s="1267"/>
      <c r="S600" s="1267"/>
      <c r="T600" s="1268"/>
    </row>
    <row r="601" spans="2:20" ht="19.5" customHeight="1">
      <c r="B601" s="1370"/>
      <c r="C601" s="1370"/>
      <c r="D601" s="1371"/>
      <c r="E601" s="909" t="s">
        <v>150</v>
      </c>
      <c r="F601" s="891"/>
      <c r="G601" s="1475">
        <f>LEN('記入シート'!C323)</f>
        <v>0</v>
      </c>
      <c r="H601" s="1476"/>
      <c r="I601" s="893" t="s">
        <v>452</v>
      </c>
      <c r="J601" s="1047"/>
      <c r="K601" s="1051"/>
      <c r="L601" s="1179"/>
      <c r="M601" s="1176"/>
      <c r="N601" s="1388"/>
      <c r="O601" s="1382"/>
      <c r="P601" s="1385"/>
      <c r="Q601" s="1266"/>
      <c r="R601" s="1267"/>
      <c r="S601" s="1267"/>
      <c r="T601" s="1268"/>
    </row>
    <row r="602" spans="2:20" ht="19.5" customHeight="1">
      <c r="B602" s="1370"/>
      <c r="C602" s="1370"/>
      <c r="D602" s="1371"/>
      <c r="E602" s="909" t="s">
        <v>167</v>
      </c>
      <c r="F602" s="891"/>
      <c r="G602" s="1470" t="str">
        <f>IF(G601&gt;G600,"OVER","INSIDE")</f>
        <v>INSIDE</v>
      </c>
      <c r="H602" s="1471"/>
      <c r="I602" s="1472"/>
      <c r="J602" s="1047"/>
      <c r="K602" s="1051"/>
      <c r="L602" s="1179"/>
      <c r="M602" s="1176"/>
      <c r="N602" s="505"/>
      <c r="O602" s="488"/>
      <c r="P602" s="489"/>
      <c r="Q602" s="1266"/>
      <c r="R602" s="1267"/>
      <c r="S602" s="1267"/>
      <c r="T602" s="1268"/>
    </row>
    <row r="603" spans="2:20" ht="19.5" customHeight="1">
      <c r="B603" s="1370"/>
      <c r="C603" s="1370"/>
      <c r="D603" s="1371"/>
      <c r="E603" s="501" t="s">
        <v>154</v>
      </c>
      <c r="F603" s="476"/>
      <c r="G603" s="1229">
        <f>IF(G601=0,0,IF(G602="OVER",0,G601+2))</f>
        <v>0</v>
      </c>
      <c r="H603" s="1230"/>
      <c r="I603" s="480" t="s">
        <v>452</v>
      </c>
      <c r="J603" s="1047"/>
      <c r="K603" s="1051"/>
      <c r="L603" s="1179"/>
      <c r="M603" s="1176"/>
      <c r="N603" s="505"/>
      <c r="O603" s="488"/>
      <c r="P603" s="489"/>
      <c r="Q603" s="1266"/>
      <c r="R603" s="1267"/>
      <c r="S603" s="1267"/>
      <c r="T603" s="1268"/>
    </row>
    <row r="604" spans="2:20" ht="19.5" customHeight="1">
      <c r="B604" s="1370"/>
      <c r="C604" s="1370"/>
      <c r="D604" s="1371"/>
      <c r="E604" s="506" t="s">
        <v>451</v>
      </c>
      <c r="F604" s="507"/>
      <c r="G604" s="1229">
        <f>ROUNDUP(G603/L599,0)</f>
        <v>0</v>
      </c>
      <c r="H604" s="1230"/>
      <c r="I604" s="480" t="s">
        <v>453</v>
      </c>
      <c r="J604" s="1047"/>
      <c r="K604" s="1051"/>
      <c r="L604" s="1179"/>
      <c r="M604" s="1176"/>
      <c r="N604" s="505"/>
      <c r="O604" s="488"/>
      <c r="P604" s="489"/>
      <c r="Q604" s="1266"/>
      <c r="R604" s="1267"/>
      <c r="S604" s="1267"/>
      <c r="T604" s="1268"/>
    </row>
    <row r="605" spans="2:20" ht="19.5" customHeight="1">
      <c r="B605" s="1370"/>
      <c r="C605" s="1370"/>
      <c r="D605" s="1371"/>
      <c r="E605" s="506" t="s">
        <v>419</v>
      </c>
      <c r="F605" s="507"/>
      <c r="G605" s="1229">
        <f>G603-G604*L599</f>
        <v>0</v>
      </c>
      <c r="H605" s="1230"/>
      <c r="I605" s="480" t="s">
        <v>452</v>
      </c>
      <c r="J605" s="1047"/>
      <c r="K605" s="1051"/>
      <c r="L605" s="1179"/>
      <c r="M605" s="1176"/>
      <c r="N605" s="505"/>
      <c r="O605" s="488"/>
      <c r="P605" s="489"/>
      <c r="Q605" s="1266"/>
      <c r="R605" s="1267"/>
      <c r="S605" s="1267"/>
      <c r="T605" s="1268"/>
    </row>
    <row r="606" spans="2:20" ht="19.5" customHeight="1" thickBot="1">
      <c r="B606" s="1370"/>
      <c r="C606" s="1370"/>
      <c r="D606" s="1371"/>
      <c r="E606" s="550" t="s">
        <v>423</v>
      </c>
      <c r="F606" s="551"/>
      <c r="G606" s="1446">
        <f>G604*L599</f>
        <v>0</v>
      </c>
      <c r="H606" s="1447"/>
      <c r="I606" s="552" t="s">
        <v>452</v>
      </c>
      <c r="J606" s="1047"/>
      <c r="K606" s="1051"/>
      <c r="L606" s="1179"/>
      <c r="M606" s="1176"/>
      <c r="N606" s="505"/>
      <c r="O606" s="488"/>
      <c r="P606" s="489"/>
      <c r="Q606" s="1266"/>
      <c r="R606" s="1267"/>
      <c r="S606" s="1267"/>
      <c r="T606" s="1268"/>
    </row>
    <row r="607" spans="2:20" ht="19.5" customHeight="1">
      <c r="B607" s="1370" t="s">
        <v>194</v>
      </c>
      <c r="C607" s="1376" t="s">
        <v>332</v>
      </c>
      <c r="D607" s="1375" t="s">
        <v>487</v>
      </c>
      <c r="E607" s="500" t="s">
        <v>437</v>
      </c>
      <c r="F607" s="492"/>
      <c r="G607" s="1239">
        <f>IF(G563-G562-O555*L555&lt;0,0,G563-G562-O555*L555)</f>
        <v>2489</v>
      </c>
      <c r="H607" s="1240"/>
      <c r="I607" s="492" t="s">
        <v>452</v>
      </c>
      <c r="J607" s="1047"/>
      <c r="K607" s="1051"/>
      <c r="L607" s="1179"/>
      <c r="M607" s="1176"/>
      <c r="N607" s="505"/>
      <c r="O607" s="488"/>
      <c r="P607" s="489"/>
      <c r="Q607" s="1266"/>
      <c r="R607" s="1267"/>
      <c r="S607" s="1267"/>
      <c r="T607" s="1268"/>
    </row>
    <row r="608" spans="2:20" ht="19.5" customHeight="1">
      <c r="B608" s="1370"/>
      <c r="C608" s="1370"/>
      <c r="D608" s="1371"/>
      <c r="E608" s="573" t="s">
        <v>135</v>
      </c>
      <c r="F608" s="480"/>
      <c r="G608" s="1206">
        <f>IF(G607&gt;2,G607-2,0)</f>
        <v>2487</v>
      </c>
      <c r="H608" s="1207"/>
      <c r="I608" s="796" t="s">
        <v>452</v>
      </c>
      <c r="J608" s="1047"/>
      <c r="K608" s="1051"/>
      <c r="L608" s="1179"/>
      <c r="M608" s="1176"/>
      <c r="N608" s="505"/>
      <c r="O608" s="488"/>
      <c r="P608" s="489"/>
      <c r="Q608" s="1266"/>
      <c r="R608" s="1267"/>
      <c r="S608" s="1267"/>
      <c r="T608" s="1268"/>
    </row>
    <row r="609" spans="2:20" ht="19.5" customHeight="1">
      <c r="B609" s="1370"/>
      <c r="C609" s="1370"/>
      <c r="D609" s="1371"/>
      <c r="E609" s="573" t="s">
        <v>150</v>
      </c>
      <c r="F609" s="480"/>
      <c r="G609" s="1229">
        <f>LEN('記入シート'!C323)</f>
        <v>0</v>
      </c>
      <c r="H609" s="1230"/>
      <c r="I609" s="480" t="s">
        <v>452</v>
      </c>
      <c r="J609" s="1047"/>
      <c r="K609" s="1051"/>
      <c r="L609" s="1179"/>
      <c r="M609" s="1176"/>
      <c r="N609" s="505"/>
      <c r="O609" s="488"/>
      <c r="P609" s="489"/>
      <c r="Q609" s="1266"/>
      <c r="R609" s="1267"/>
      <c r="S609" s="1267"/>
      <c r="T609" s="1268"/>
    </row>
    <row r="610" spans="2:20" ht="19.5" customHeight="1" thickBot="1">
      <c r="B610" s="1370"/>
      <c r="C610" s="1377"/>
      <c r="D610" s="1379"/>
      <c r="E610" s="910" t="s">
        <v>167</v>
      </c>
      <c r="F610" s="552"/>
      <c r="G610" s="1243" t="str">
        <f>IF(G609&gt;G608,"OVER","INSIDE")</f>
        <v>INSIDE</v>
      </c>
      <c r="H610" s="1244"/>
      <c r="I610" s="1245"/>
      <c r="J610" s="1048"/>
      <c r="K610" s="1045"/>
      <c r="L610" s="1180"/>
      <c r="M610" s="1177"/>
      <c r="N610" s="509"/>
      <c r="O610" s="496"/>
      <c r="P610" s="497"/>
      <c r="Q610" s="1269"/>
      <c r="R610" s="1270"/>
      <c r="S610" s="1270"/>
      <c r="T610" s="1271"/>
    </row>
    <row r="611" spans="2:20" ht="19.5" customHeight="1">
      <c r="B611" s="1370" t="s">
        <v>194</v>
      </c>
      <c r="C611" s="1376" t="s">
        <v>400</v>
      </c>
      <c r="D611" s="1375" t="s">
        <v>487</v>
      </c>
      <c r="E611" s="670"/>
      <c r="F611" s="553" t="s">
        <v>455</v>
      </c>
      <c r="G611" s="1468">
        <f>LEN(LEFT('記入シート'!C327,L611))</f>
        <v>0</v>
      </c>
      <c r="H611" s="1469"/>
      <c r="I611" s="554" t="s">
        <v>452</v>
      </c>
      <c r="J611" s="1040" t="s">
        <v>352</v>
      </c>
      <c r="K611" s="1050">
        <f ca="1">CELL("row",'記入シート'!C327)</f>
        <v>327</v>
      </c>
      <c r="L611" s="1179">
        <f>$L$40</f>
        <v>6</v>
      </c>
      <c r="M611" s="1893">
        <f>M599</f>
        <v>131</v>
      </c>
      <c r="N611" s="1652" t="s">
        <v>474</v>
      </c>
      <c r="O611" s="1381">
        <f>SUM(G611:H618)</f>
        <v>0</v>
      </c>
      <c r="P611" s="1654" t="s">
        <v>452</v>
      </c>
      <c r="Q611" s="1554">
        <f>IF(O616=0,REPT("　",O626*L611),CONCATENATE(LEFT('記入シート'!C327,L611),REPT("　",G612),LEFT('記入シート'!C328,L611),REPT("　",G614),LEFT('記入シート'!C329,L611),REPT("　",G616),LEFT('記入シート'!C330,L611),REPT("　",G618),REPT("　",L611*O618)))</f>
      </c>
      <c r="R611" s="313"/>
      <c r="S611" s="313"/>
      <c r="T611" s="313"/>
    </row>
    <row r="612" spans="2:20" ht="19.5" customHeight="1">
      <c r="B612" s="1370"/>
      <c r="C612" s="1370"/>
      <c r="D612" s="1371"/>
      <c r="E612" s="670"/>
      <c r="F612" s="508" t="s">
        <v>458</v>
      </c>
      <c r="G612" s="1229">
        <f>IF(G611=0,0,$L$40-G611)</f>
        <v>0</v>
      </c>
      <c r="H612" s="1230"/>
      <c r="I612" s="495" t="s">
        <v>452</v>
      </c>
      <c r="J612" s="1172"/>
      <c r="K612" s="1051"/>
      <c r="L612" s="1179"/>
      <c r="M612" s="1893"/>
      <c r="N612" s="1652"/>
      <c r="O612" s="1381"/>
      <c r="P612" s="1654"/>
      <c r="Q612" s="1554"/>
      <c r="R612" s="313"/>
      <c r="S612" s="313"/>
      <c r="T612" s="313"/>
    </row>
    <row r="613" spans="2:20" ht="19.5" customHeight="1">
      <c r="B613" s="1370"/>
      <c r="C613" s="1370"/>
      <c r="D613" s="1371"/>
      <c r="E613" s="670"/>
      <c r="F613" s="508" t="s">
        <v>456</v>
      </c>
      <c r="G613" s="1229">
        <f>LEN(LEFT('記入シート'!C328,L611))</f>
        <v>0</v>
      </c>
      <c r="H613" s="1230"/>
      <c r="I613" s="495" t="s">
        <v>452</v>
      </c>
      <c r="J613" s="1172" t="s">
        <v>352</v>
      </c>
      <c r="K613" s="1044">
        <f ca="1">CELL("row",'記入シート'!C328)</f>
        <v>328</v>
      </c>
      <c r="L613" s="1179"/>
      <c r="M613" s="1893"/>
      <c r="N613" s="1652"/>
      <c r="O613" s="1381"/>
      <c r="P613" s="1654"/>
      <c r="Q613" s="1554"/>
      <c r="R613" s="313"/>
      <c r="S613" s="313"/>
      <c r="T613" s="313"/>
    </row>
    <row r="614" spans="2:20" ht="19.5" customHeight="1">
      <c r="B614" s="1370"/>
      <c r="C614" s="1370"/>
      <c r="D614" s="1371"/>
      <c r="E614" s="670" t="s">
        <v>401</v>
      </c>
      <c r="F614" s="508" t="s">
        <v>459</v>
      </c>
      <c r="G614" s="1229">
        <f>IF(G613=0,0,$L$40-G613)</f>
        <v>0</v>
      </c>
      <c r="H614" s="1230"/>
      <c r="I614" s="495" t="s">
        <v>452</v>
      </c>
      <c r="J614" s="1172"/>
      <c r="K614" s="1044"/>
      <c r="L614" s="1179"/>
      <c r="M614" s="1893"/>
      <c r="N614" s="1652"/>
      <c r="O614" s="1381"/>
      <c r="P614" s="1654"/>
      <c r="Q614" s="1549"/>
      <c r="R614" s="313"/>
      <c r="S614" s="313"/>
      <c r="T614" s="313"/>
    </row>
    <row r="615" spans="2:20" ht="19.5" customHeight="1">
      <c r="B615" s="1370"/>
      <c r="C615" s="1370"/>
      <c r="D615" s="1371"/>
      <c r="E615" s="670" t="s">
        <v>284</v>
      </c>
      <c r="F615" s="507" t="s">
        <v>475</v>
      </c>
      <c r="G615" s="1229">
        <f>LEN(LEFT('記入シート'!C329,L611))</f>
        <v>0</v>
      </c>
      <c r="H615" s="1230"/>
      <c r="I615" s="495" t="s">
        <v>452</v>
      </c>
      <c r="J615" s="1046" t="s">
        <v>352</v>
      </c>
      <c r="K615" s="1044">
        <f ca="1">CELL("row",'記入シート'!C329)</f>
        <v>329</v>
      </c>
      <c r="L615" s="1179"/>
      <c r="M615" s="1893"/>
      <c r="N615" s="1653"/>
      <c r="O615" s="1382"/>
      <c r="P615" s="1655"/>
      <c r="Q615" s="320"/>
      <c r="R615" s="313"/>
      <c r="S615" s="313"/>
      <c r="T615" s="313"/>
    </row>
    <row r="616" spans="2:20" ht="19.5" customHeight="1">
      <c r="B616" s="1370"/>
      <c r="C616" s="1370"/>
      <c r="D616" s="1371"/>
      <c r="E616" s="670"/>
      <c r="F616" s="507" t="s">
        <v>476</v>
      </c>
      <c r="G616" s="1229">
        <f>IF(G615=0,0,$L$40-G615)</f>
        <v>0</v>
      </c>
      <c r="H616" s="1230"/>
      <c r="I616" s="495" t="s">
        <v>452</v>
      </c>
      <c r="J616" s="1040"/>
      <c r="K616" s="1044"/>
      <c r="L616" s="1179"/>
      <c r="M616" s="1893"/>
      <c r="N616" s="1641" t="s">
        <v>480</v>
      </c>
      <c r="O616" s="1628">
        <f>O611/$L$40</f>
        <v>0</v>
      </c>
      <c r="P616" s="1629" t="s">
        <v>453</v>
      </c>
      <c r="Q616" s="320"/>
      <c r="R616" s="313"/>
      <c r="S616" s="313"/>
      <c r="T616" s="313"/>
    </row>
    <row r="617" spans="2:20" ht="19.5" customHeight="1">
      <c r="B617" s="1370"/>
      <c r="C617" s="1370"/>
      <c r="D617" s="1371"/>
      <c r="E617" s="670"/>
      <c r="F617" s="507" t="s">
        <v>477</v>
      </c>
      <c r="G617" s="1229">
        <f>LEN(LEFT('記入シート'!C330,L611))</f>
        <v>0</v>
      </c>
      <c r="H617" s="1230"/>
      <c r="I617" s="495" t="s">
        <v>452</v>
      </c>
      <c r="J617" s="1046" t="s">
        <v>352</v>
      </c>
      <c r="K617" s="1044">
        <f ca="1">CELL("row",'記入シート'!C330)</f>
        <v>330</v>
      </c>
      <c r="L617" s="1179"/>
      <c r="M617" s="1893"/>
      <c r="N617" s="1388"/>
      <c r="O617" s="1382"/>
      <c r="P617" s="1385"/>
      <c r="Q617" s="995"/>
      <c r="R617" s="313"/>
      <c r="S617" s="313"/>
      <c r="T617" s="313"/>
    </row>
    <row r="618" spans="2:20" ht="19.5" customHeight="1">
      <c r="B618" s="1370"/>
      <c r="C618" s="1370"/>
      <c r="D618" s="1371"/>
      <c r="E618" s="670"/>
      <c r="F618" s="508" t="s">
        <v>478</v>
      </c>
      <c r="G618" s="1229">
        <f>IF(G617=0,0,$L$40-G617)</f>
        <v>0</v>
      </c>
      <c r="H618" s="1230"/>
      <c r="I618" s="495" t="s">
        <v>452</v>
      </c>
      <c r="J618" s="1040"/>
      <c r="K618" s="1044"/>
      <c r="L618" s="1179"/>
      <c r="M618" s="1893"/>
      <c r="N618" s="555" t="s">
        <v>482</v>
      </c>
      <c r="O618" s="556">
        <f>O626-O616</f>
        <v>0</v>
      </c>
      <c r="P618" s="515" t="s">
        <v>453</v>
      </c>
      <c r="Q618" s="995"/>
      <c r="R618" s="313"/>
      <c r="S618" s="313"/>
      <c r="T618" s="313"/>
    </row>
    <row r="619" spans="2:20" ht="19.5" customHeight="1">
      <c r="B619" s="1370"/>
      <c r="C619" s="1370"/>
      <c r="D619" s="1371"/>
      <c r="E619" s="531"/>
      <c r="F619" s="528"/>
      <c r="G619" s="528"/>
      <c r="H619" s="529"/>
      <c r="I619" s="532"/>
      <c r="J619" s="1028"/>
      <c r="K619" s="532"/>
      <c r="L619" s="533"/>
      <c r="M619" s="534"/>
      <c r="N619" s="1647" t="s">
        <v>124</v>
      </c>
      <c r="O619" s="1534" t="str">
        <f>IF(O616&gt;G607/L599,"OVER","INSIDE")</f>
        <v>INSIDE</v>
      </c>
      <c r="P619" s="1535"/>
      <c r="Q619" s="424"/>
      <c r="R619" s="419"/>
      <c r="S619" s="419"/>
      <c r="T619" s="419"/>
    </row>
    <row r="620" spans="2:20" ht="19.5" customHeight="1" thickBot="1">
      <c r="B620" s="1370"/>
      <c r="C620" s="1370"/>
      <c r="D620" s="1371"/>
      <c r="E620" s="557"/>
      <c r="F620" s="558"/>
      <c r="G620" s="558"/>
      <c r="H620" s="559"/>
      <c r="I620" s="560"/>
      <c r="J620" s="1029"/>
      <c r="K620" s="560"/>
      <c r="L620" s="561"/>
      <c r="M620" s="562"/>
      <c r="N620" s="1648"/>
      <c r="O620" s="1536"/>
      <c r="P620" s="1537"/>
      <c r="Q620" s="424"/>
      <c r="R620" s="419"/>
      <c r="S620" s="419"/>
      <c r="T620" s="419"/>
    </row>
    <row r="621" spans="2:20" ht="19.5" customHeight="1">
      <c r="B621" s="1370" t="s">
        <v>194</v>
      </c>
      <c r="C621" s="1370" t="s">
        <v>400</v>
      </c>
      <c r="D621" s="1371" t="s">
        <v>487</v>
      </c>
      <c r="E621" s="671"/>
      <c r="F621" s="526" t="s">
        <v>455</v>
      </c>
      <c r="G621" s="1239">
        <f>LEN(LEFT('記入シート'!C333,L621))</f>
        <v>0</v>
      </c>
      <c r="H621" s="1240"/>
      <c r="I621" s="527" t="s">
        <v>452</v>
      </c>
      <c r="J621" s="1228" t="s">
        <v>352</v>
      </c>
      <c r="K621" s="1050">
        <f ca="1">CELL("row",'記入シート'!C333)</f>
        <v>333</v>
      </c>
      <c r="L621" s="1752">
        <f>$L$49</f>
        <v>6</v>
      </c>
      <c r="M621" s="1650">
        <f>M599</f>
        <v>131</v>
      </c>
      <c r="N621" s="1651" t="s">
        <v>484</v>
      </c>
      <c r="O621" s="1634">
        <f>SUM(G621:H624)</f>
        <v>0</v>
      </c>
      <c r="P621" s="1635" t="s">
        <v>452</v>
      </c>
      <c r="Q621" s="1548">
        <f>IF(O624=0,REPT("　",O626*L621),CONCATENATE(LEFT('記入シート'!C333,L621),REPT("　",G622),LEFT('記入シート'!C334,L621),REPT("　",G624),REPT("　",L621*O629)))</f>
      </c>
      <c r="R621" s="419"/>
      <c r="S621" s="419"/>
      <c r="T621" s="419"/>
    </row>
    <row r="622" spans="2:20" ht="19.5" customHeight="1">
      <c r="B622" s="1370"/>
      <c r="C622" s="1370"/>
      <c r="D622" s="1371"/>
      <c r="E622" s="511" t="s">
        <v>402</v>
      </c>
      <c r="F622" s="508" t="s">
        <v>458</v>
      </c>
      <c r="G622" s="1229">
        <f>IF(G621=0,0,$L$49-G621)</f>
        <v>0</v>
      </c>
      <c r="H622" s="1230"/>
      <c r="I622" s="495" t="s">
        <v>452</v>
      </c>
      <c r="J622" s="1172"/>
      <c r="K622" s="1051"/>
      <c r="L622" s="1179"/>
      <c r="M622" s="1639"/>
      <c r="N622" s="1652"/>
      <c r="O622" s="1381"/>
      <c r="P622" s="1384"/>
      <c r="Q622" s="1549"/>
      <c r="R622" s="419"/>
      <c r="S622" s="419"/>
      <c r="T622" s="419"/>
    </row>
    <row r="623" spans="2:20" ht="19.5" customHeight="1">
      <c r="B623" s="1370"/>
      <c r="C623" s="1370"/>
      <c r="D623" s="1371"/>
      <c r="E623" s="511" t="s">
        <v>284</v>
      </c>
      <c r="F623" s="508" t="s">
        <v>456</v>
      </c>
      <c r="G623" s="1229">
        <f>LEN(LEFT('記入シート'!C334,L621))</f>
        <v>0</v>
      </c>
      <c r="H623" s="1230"/>
      <c r="I623" s="495" t="s">
        <v>452</v>
      </c>
      <c r="J623" s="1046" t="s">
        <v>352</v>
      </c>
      <c r="K623" s="1059">
        <f ca="1">CELL("row",'記入シート'!C334)</f>
        <v>334</v>
      </c>
      <c r="L623" s="1179"/>
      <c r="M623" s="1639"/>
      <c r="N623" s="1653"/>
      <c r="O623" s="1382"/>
      <c r="P623" s="1385"/>
      <c r="Q623" s="424"/>
      <c r="R623" s="419"/>
      <c r="S623" s="419"/>
      <c r="T623" s="419"/>
    </row>
    <row r="624" spans="2:20" ht="19.5" customHeight="1">
      <c r="B624" s="1370"/>
      <c r="C624" s="1370"/>
      <c r="D624" s="1371"/>
      <c r="E624" s="670"/>
      <c r="F624" s="507" t="s">
        <v>459</v>
      </c>
      <c r="G624" s="1229">
        <f>IF(G623=0,0,$L$49-G623)</f>
        <v>0</v>
      </c>
      <c r="H624" s="1230"/>
      <c r="I624" s="480" t="s">
        <v>452</v>
      </c>
      <c r="J624" s="1040"/>
      <c r="K624" s="1060"/>
      <c r="L624" s="1887"/>
      <c r="M624" s="1639"/>
      <c r="N624" s="1641" t="s">
        <v>479</v>
      </c>
      <c r="O624" s="1628">
        <f>O621/$L$49</f>
        <v>0</v>
      </c>
      <c r="P624" s="1629" t="s">
        <v>453</v>
      </c>
      <c r="Q624" s="424"/>
      <c r="R624" s="419"/>
      <c r="S624" s="419"/>
      <c r="T624" s="419"/>
    </row>
    <row r="625" spans="2:20" ht="19.5" customHeight="1">
      <c r="B625" s="1370"/>
      <c r="C625" s="1370"/>
      <c r="D625" s="1371"/>
      <c r="E625" s="531"/>
      <c r="F625" s="528"/>
      <c r="G625" s="528"/>
      <c r="H625" s="529"/>
      <c r="I625" s="532"/>
      <c r="J625" s="1028"/>
      <c r="K625" s="532"/>
      <c r="L625" s="533"/>
      <c r="M625" s="533"/>
      <c r="N625" s="1387"/>
      <c r="O625" s="1381"/>
      <c r="P625" s="1384"/>
      <c r="Q625" s="424"/>
      <c r="R625" s="419"/>
      <c r="S625" s="419"/>
      <c r="T625" s="419"/>
    </row>
    <row r="626" spans="2:20" ht="19.5" customHeight="1">
      <c r="B626" s="1370"/>
      <c r="C626" s="1370"/>
      <c r="D626" s="1371"/>
      <c r="E626" s="531"/>
      <c r="F626" s="535"/>
      <c r="G626" s="535"/>
      <c r="H626" s="536"/>
      <c r="I626" s="537"/>
      <c r="J626" s="1030"/>
      <c r="K626" s="537"/>
      <c r="L626" s="539"/>
      <c r="M626" s="539"/>
      <c r="N626" s="1641" t="s">
        <v>483</v>
      </c>
      <c r="O626" s="1628">
        <f>MAX(G604,O616,O624)</f>
        <v>0</v>
      </c>
      <c r="P626" s="1629" t="s">
        <v>453</v>
      </c>
      <c r="Q626" s="424"/>
      <c r="R626" s="419"/>
      <c r="S626" s="419"/>
      <c r="T626" s="419"/>
    </row>
    <row r="627" spans="2:20" ht="19.5" customHeight="1">
      <c r="B627" s="1370"/>
      <c r="C627" s="1370"/>
      <c r="D627" s="1371"/>
      <c r="E627" s="531"/>
      <c r="F627" s="535"/>
      <c r="G627" s="535"/>
      <c r="H627" s="536"/>
      <c r="I627" s="537"/>
      <c r="J627" s="1030"/>
      <c r="K627" s="537"/>
      <c r="L627" s="539"/>
      <c r="M627" s="539"/>
      <c r="N627" s="1387"/>
      <c r="O627" s="1381"/>
      <c r="P627" s="1384"/>
      <c r="Q627" s="424"/>
      <c r="R627" s="419"/>
      <c r="S627" s="419"/>
      <c r="T627" s="419"/>
    </row>
    <row r="628" spans="2:20" ht="19.5" customHeight="1">
      <c r="B628" s="1370"/>
      <c r="C628" s="1370"/>
      <c r="D628" s="1371"/>
      <c r="E628" s="531"/>
      <c r="F628" s="535"/>
      <c r="G628" s="535"/>
      <c r="H628" s="536"/>
      <c r="I628" s="537"/>
      <c r="J628" s="1030"/>
      <c r="K628" s="537"/>
      <c r="L628" s="539"/>
      <c r="M628" s="539"/>
      <c r="N628" s="1388"/>
      <c r="O628" s="1382"/>
      <c r="P628" s="1385"/>
      <c r="Q628" s="424"/>
      <c r="R628" s="419"/>
      <c r="S628" s="419"/>
      <c r="T628" s="419"/>
    </row>
    <row r="629" spans="2:20" ht="19.5" customHeight="1">
      <c r="B629" s="1370"/>
      <c r="C629" s="1370"/>
      <c r="D629" s="1371"/>
      <c r="E629" s="531"/>
      <c r="F629" s="535"/>
      <c r="G629" s="535"/>
      <c r="H629" s="536"/>
      <c r="I629" s="537"/>
      <c r="J629" s="1030"/>
      <c r="K629" s="537"/>
      <c r="L629" s="539"/>
      <c r="M629" s="539"/>
      <c r="N629" s="514" t="s">
        <v>485</v>
      </c>
      <c r="O629" s="488">
        <f>O626-O624</f>
        <v>0</v>
      </c>
      <c r="P629" s="502" t="s">
        <v>453</v>
      </c>
      <c r="Q629" s="424"/>
      <c r="R629" s="419"/>
      <c r="S629" s="419"/>
      <c r="T629" s="419"/>
    </row>
    <row r="630" spans="2:20" ht="19.5" customHeight="1">
      <c r="B630" s="1370"/>
      <c r="C630" s="1370"/>
      <c r="D630" s="1371"/>
      <c r="E630" s="531"/>
      <c r="F630" s="535"/>
      <c r="G630" s="535"/>
      <c r="H630" s="536"/>
      <c r="I630" s="537"/>
      <c r="J630" s="1030"/>
      <c r="K630" s="537"/>
      <c r="L630" s="539"/>
      <c r="M630" s="539"/>
      <c r="N630" s="1647" t="s">
        <v>125</v>
      </c>
      <c r="O630" s="1534" t="str">
        <f>IF(O624&gt;G607/L599,"OVER","INSIDE")</f>
        <v>INSIDE</v>
      </c>
      <c r="P630" s="1535"/>
      <c r="Q630" s="424"/>
      <c r="R630" s="419"/>
      <c r="S630" s="419"/>
      <c r="T630" s="419"/>
    </row>
    <row r="631" spans="2:20" ht="19.5" customHeight="1" thickBot="1">
      <c r="B631" s="1370"/>
      <c r="C631" s="1370"/>
      <c r="D631" s="1371"/>
      <c r="E631" s="531"/>
      <c r="F631" s="535"/>
      <c r="G631" s="535"/>
      <c r="H631" s="536"/>
      <c r="I631" s="537"/>
      <c r="J631" s="1030"/>
      <c r="K631" s="537"/>
      <c r="L631" s="539"/>
      <c r="M631" s="539"/>
      <c r="N631" s="1648"/>
      <c r="O631" s="1536"/>
      <c r="P631" s="1537"/>
      <c r="Q631" s="424"/>
      <c r="R631" s="419"/>
      <c r="S631" s="419"/>
      <c r="T631" s="419"/>
    </row>
    <row r="632" spans="2:20" ht="19.5" customHeight="1">
      <c r="B632" s="1370" t="s">
        <v>194</v>
      </c>
      <c r="C632" s="1370" t="s">
        <v>400</v>
      </c>
      <c r="D632" s="1371" t="s">
        <v>487</v>
      </c>
      <c r="E632" s="671"/>
      <c r="F632" s="541" t="s">
        <v>1</v>
      </c>
      <c r="G632" s="1239">
        <f>LEN(LEFT('記入シート'!D337,2))</f>
        <v>0</v>
      </c>
      <c r="H632" s="1240"/>
      <c r="I632" s="527" t="s">
        <v>452</v>
      </c>
      <c r="J632" s="1228" t="s">
        <v>353</v>
      </c>
      <c r="K632" s="1043">
        <f ca="1">CELL("row",'記入シート'!D337)</f>
        <v>337</v>
      </c>
      <c r="L632" s="1890">
        <v>2</v>
      </c>
      <c r="M632" s="1650">
        <f>M599</f>
        <v>131</v>
      </c>
      <c r="N632" s="1649" t="s">
        <v>8</v>
      </c>
      <c r="O632" s="1634">
        <f>IF(G632=0,0,1)</f>
        <v>0</v>
      </c>
      <c r="P632" s="1635" t="s">
        <v>453</v>
      </c>
      <c r="Q632" s="503" t="s">
        <v>6</v>
      </c>
      <c r="R632" s="419"/>
      <c r="S632" s="419"/>
      <c r="T632" s="419"/>
    </row>
    <row r="633" spans="2:20" ht="19.5" customHeight="1">
      <c r="B633" s="1370"/>
      <c r="C633" s="1370"/>
      <c r="D633" s="1371"/>
      <c r="E633" s="670"/>
      <c r="F633" s="508" t="s">
        <v>2</v>
      </c>
      <c r="G633" s="1229">
        <f>$L$58-G632</f>
        <v>2</v>
      </c>
      <c r="H633" s="1230"/>
      <c r="I633" s="495" t="s">
        <v>452</v>
      </c>
      <c r="J633" s="1172"/>
      <c r="K633" s="1060"/>
      <c r="L633" s="1637"/>
      <c r="M633" s="1640"/>
      <c r="N633" s="1646"/>
      <c r="O633" s="1382"/>
      <c r="P633" s="1385"/>
      <c r="Q633" s="986">
        <f>IF(G603=0,"",IF(O632=0,REPT("　",5*O634),CONCATENATE(REPT("　",G633),LEFT('記入シート'!D337,L632),"／",REPT("　",G635),LEFT('記入シート'!G337,L634),REPT("　",5*O634))))</f>
      </c>
      <c r="R633" s="419"/>
      <c r="S633" s="419"/>
      <c r="T633" s="419"/>
    </row>
    <row r="634" spans="2:20" ht="19.5" customHeight="1">
      <c r="B634" s="1370"/>
      <c r="C634" s="1370"/>
      <c r="D634" s="1371"/>
      <c r="E634" s="670"/>
      <c r="F634" s="508" t="s">
        <v>3</v>
      </c>
      <c r="G634" s="1229">
        <f>LEN(LEFT('記入シート'!G337,2))</f>
        <v>0</v>
      </c>
      <c r="H634" s="1230"/>
      <c r="I634" s="495" t="s">
        <v>452</v>
      </c>
      <c r="J634" s="1172" t="s">
        <v>354</v>
      </c>
      <c r="K634" s="1059">
        <f ca="1">CELL("row",'記入シート'!G337)</f>
        <v>337</v>
      </c>
      <c r="L634" s="1637">
        <v>2</v>
      </c>
      <c r="M634" s="1639">
        <f>M599</f>
        <v>131</v>
      </c>
      <c r="N634" s="542" t="s">
        <v>9</v>
      </c>
      <c r="O634" s="543">
        <f>IF(O626=0,0,O626-O632)</f>
        <v>0</v>
      </c>
      <c r="P634" s="513" t="s">
        <v>453</v>
      </c>
      <c r="Q634" s="987"/>
      <c r="R634" s="419"/>
      <c r="S634" s="419"/>
      <c r="T634" s="419"/>
    </row>
    <row r="635" spans="2:20" ht="19.5" customHeight="1">
      <c r="B635" s="1370"/>
      <c r="C635" s="1370"/>
      <c r="D635" s="1371"/>
      <c r="E635" s="511" t="s">
        <v>403</v>
      </c>
      <c r="F635" s="508" t="s">
        <v>461</v>
      </c>
      <c r="G635" s="1229">
        <f>$L$60-G634</f>
        <v>2</v>
      </c>
      <c r="H635" s="1230"/>
      <c r="I635" s="495" t="s">
        <v>452</v>
      </c>
      <c r="J635" s="1172"/>
      <c r="K635" s="1060"/>
      <c r="L635" s="1637"/>
      <c r="M635" s="1639"/>
      <c r="N635" s="487"/>
      <c r="O635" s="488"/>
      <c r="P635" s="489"/>
      <c r="Q635" s="988"/>
      <c r="R635" s="419"/>
      <c r="S635" s="419"/>
      <c r="T635" s="419"/>
    </row>
    <row r="636" spans="2:20" ht="19.5" customHeight="1">
      <c r="B636" s="1370"/>
      <c r="C636" s="1370"/>
      <c r="D636" s="1371"/>
      <c r="E636" s="511" t="s">
        <v>284</v>
      </c>
      <c r="F636" s="508" t="s">
        <v>4</v>
      </c>
      <c r="G636" s="1229">
        <f>LEN(LEFT('記入シート'!N337,2))</f>
        <v>0</v>
      </c>
      <c r="H636" s="1230"/>
      <c r="I636" s="495" t="s">
        <v>452</v>
      </c>
      <c r="J636" s="1172" t="s">
        <v>355</v>
      </c>
      <c r="K636" s="1059">
        <f ca="1">CELL("row",'記入シート'!N337)</f>
        <v>337</v>
      </c>
      <c r="L636" s="1637">
        <v>2</v>
      </c>
      <c r="M636" s="1639">
        <f>M599</f>
        <v>131</v>
      </c>
      <c r="N636" s="1645" t="s">
        <v>178</v>
      </c>
      <c r="O636" s="1628">
        <f>IF(G636=0,0,1)</f>
        <v>0</v>
      </c>
      <c r="P636" s="1629" t="s">
        <v>453</v>
      </c>
      <c r="Q636" s="503" t="s">
        <v>7</v>
      </c>
      <c r="R636" s="419"/>
      <c r="S636" s="419"/>
      <c r="T636" s="419"/>
    </row>
    <row r="637" spans="2:20" ht="19.5" customHeight="1">
      <c r="B637" s="1370"/>
      <c r="C637" s="1370"/>
      <c r="D637" s="1371"/>
      <c r="E637" s="670"/>
      <c r="F637" s="508" t="s">
        <v>5</v>
      </c>
      <c r="G637" s="1229">
        <f>$L$62-G636</f>
        <v>2</v>
      </c>
      <c r="H637" s="1230"/>
      <c r="I637" s="495" t="s">
        <v>452</v>
      </c>
      <c r="J637" s="1172"/>
      <c r="K637" s="1060"/>
      <c r="L637" s="1637"/>
      <c r="M637" s="1639"/>
      <c r="N637" s="1646"/>
      <c r="O637" s="1382"/>
      <c r="P637" s="1385"/>
      <c r="Q637" s="986">
        <f>IF(G603=0,"",IF(O636=0,REPT("　",5*O638),CONCATENATE(REPT("　",G637),LEFT('記入シート'!N337,L636),"／",REPT("　",G639),LEFT('記入シート'!Q337,L638),REPT("　",5*O638))))</f>
      </c>
      <c r="R637" s="419"/>
      <c r="S637" s="419"/>
      <c r="T637" s="419"/>
    </row>
    <row r="638" spans="2:20" ht="19.5" customHeight="1">
      <c r="B638" s="1370"/>
      <c r="C638" s="1370"/>
      <c r="D638" s="1371"/>
      <c r="E638" s="670"/>
      <c r="F638" s="508" t="s">
        <v>462</v>
      </c>
      <c r="G638" s="1229">
        <f>LEN(LEFT('記入シート'!Q337,2))</f>
        <v>0</v>
      </c>
      <c r="H638" s="1230"/>
      <c r="I638" s="495" t="s">
        <v>452</v>
      </c>
      <c r="J638" s="1172" t="s">
        <v>356</v>
      </c>
      <c r="K638" s="1059">
        <f ca="1">CELL("row",'記入シート'!Q337)</f>
        <v>337</v>
      </c>
      <c r="L638" s="1637">
        <v>2</v>
      </c>
      <c r="M638" s="1639">
        <f>M599</f>
        <v>131</v>
      </c>
      <c r="N638" s="542" t="s">
        <v>179</v>
      </c>
      <c r="O638" s="543">
        <f>IF(O626=0,0,O626-O636)</f>
        <v>0</v>
      </c>
      <c r="P638" s="513" t="s">
        <v>453</v>
      </c>
      <c r="Q638" s="987"/>
      <c r="R638" s="419"/>
      <c r="S638" s="419"/>
      <c r="T638" s="419"/>
    </row>
    <row r="639" spans="2:20" ht="19.5" customHeight="1" thickBot="1">
      <c r="B639" s="1370"/>
      <c r="C639" s="1370"/>
      <c r="D639" s="1371"/>
      <c r="E639" s="673"/>
      <c r="F639" s="508" t="s">
        <v>463</v>
      </c>
      <c r="G639" s="1446">
        <f>$L$64-G638</f>
        <v>2</v>
      </c>
      <c r="H639" s="1447"/>
      <c r="I639" s="495" t="s">
        <v>452</v>
      </c>
      <c r="J639" s="1636"/>
      <c r="K639" s="1049"/>
      <c r="L639" s="1638"/>
      <c r="M639" s="1640"/>
      <c r="N639" s="487"/>
      <c r="O639" s="488"/>
      <c r="P639" s="489"/>
      <c r="Q639" s="989"/>
      <c r="R639" s="419"/>
      <c r="S639" s="419"/>
      <c r="T639" s="419"/>
    </row>
    <row r="640" spans="2:20" ht="19.5" customHeight="1">
      <c r="B640" s="1370"/>
      <c r="C640" s="1370"/>
      <c r="D640" s="1371" t="s">
        <v>487</v>
      </c>
      <c r="E640" s="525" t="s">
        <v>404</v>
      </c>
      <c r="F640" s="526" t="s">
        <v>420</v>
      </c>
      <c r="G640" s="1239">
        <f>LEN(LEFT('記入シート'!C340,L640))</f>
        <v>0</v>
      </c>
      <c r="H640" s="1240"/>
      <c r="I640" s="527" t="s">
        <v>452</v>
      </c>
      <c r="J640" s="1233" t="s">
        <v>352</v>
      </c>
      <c r="K640" s="1050">
        <f ca="1">CELL("row",'記入シート'!C340)</f>
        <v>340</v>
      </c>
      <c r="L640" s="1752">
        <f>$L$66</f>
        <v>1</v>
      </c>
      <c r="M640" s="1630">
        <f>M599</f>
        <v>131</v>
      </c>
      <c r="N640" s="1649" t="s">
        <v>10</v>
      </c>
      <c r="O640" s="1634">
        <f>IF(G640=0,0,1)</f>
        <v>0</v>
      </c>
      <c r="P640" s="1635" t="s">
        <v>453</v>
      </c>
      <c r="Q640" s="639">
        <f>IF(G601=0,"",CONCATENATE(LEFT('記入シート'!C340,1),REPT("　",O642)))</f>
      </c>
      <c r="R640" s="419"/>
      <c r="S640" s="419"/>
      <c r="T640" s="419"/>
    </row>
    <row r="641" spans="2:20" ht="19.5" customHeight="1">
      <c r="B641" s="1370"/>
      <c r="C641" s="1370"/>
      <c r="D641" s="1371"/>
      <c r="E641" s="511" t="s">
        <v>284</v>
      </c>
      <c r="F641" s="508" t="s">
        <v>460</v>
      </c>
      <c r="G641" s="1229">
        <f>$L$66-G640</f>
        <v>1</v>
      </c>
      <c r="H641" s="1230"/>
      <c r="I641" s="495" t="s">
        <v>452</v>
      </c>
      <c r="J641" s="1047"/>
      <c r="K641" s="1051"/>
      <c r="L641" s="1179"/>
      <c r="M641" s="1176"/>
      <c r="N641" s="1646"/>
      <c r="O641" s="1382"/>
      <c r="P641" s="1385"/>
      <c r="Q641" s="424"/>
      <c r="R641" s="419"/>
      <c r="S641" s="419"/>
      <c r="T641" s="419"/>
    </row>
    <row r="642" spans="2:20" ht="19.5" customHeight="1" thickBot="1">
      <c r="B642" s="1373"/>
      <c r="C642" s="1373"/>
      <c r="D642" s="1372"/>
      <c r="E642" s="672"/>
      <c r="F642" s="545" t="s">
        <v>158</v>
      </c>
      <c r="G642" s="546" t="s">
        <v>159</v>
      </c>
      <c r="H642" s="452">
        <f>WIDECHAR('記入シート'!C340)</f>
      </c>
      <c r="I642" s="547" t="s">
        <v>160</v>
      </c>
      <c r="J642" s="1899"/>
      <c r="K642" s="1052"/>
      <c r="L642" s="1894"/>
      <c r="M642" s="1892"/>
      <c r="N642" s="563" t="s">
        <v>486</v>
      </c>
      <c r="O642" s="564">
        <f>IF(O626=0,0,O626-O640)</f>
        <v>0</v>
      </c>
      <c r="P642" s="565" t="s">
        <v>453</v>
      </c>
      <c r="Q642" s="424"/>
      <c r="R642" s="419"/>
      <c r="S642" s="419"/>
      <c r="T642" s="419"/>
    </row>
    <row r="643" spans="2:20" ht="19.5" customHeight="1" thickTop="1">
      <c r="B643" s="1374" t="s">
        <v>119</v>
      </c>
      <c r="C643" s="1374" t="s">
        <v>400</v>
      </c>
      <c r="D643" s="1378" t="s">
        <v>473</v>
      </c>
      <c r="E643" s="908" t="s">
        <v>437</v>
      </c>
      <c r="F643" s="906"/>
      <c r="G643" s="1473">
        <f>IF(G599-G606-O599*L599&lt;0,0,G599-G606-O599*L599)</f>
        <v>2489</v>
      </c>
      <c r="H643" s="1474"/>
      <c r="I643" s="906" t="s">
        <v>452</v>
      </c>
      <c r="J643" s="1233" t="s">
        <v>351</v>
      </c>
      <c r="K643" s="1050">
        <f ca="1">CELL("row",'記入シート'!C345)</f>
        <v>345</v>
      </c>
      <c r="L643" s="1234">
        <f>$L$32</f>
        <v>19</v>
      </c>
      <c r="M643" s="1235">
        <f>G651/L643</f>
        <v>131</v>
      </c>
      <c r="N643" s="1386" t="s">
        <v>481</v>
      </c>
      <c r="O643" s="1380">
        <f>O670-G648</f>
        <v>0</v>
      </c>
      <c r="P643" s="1383" t="s">
        <v>453</v>
      </c>
      <c r="Q643" s="1263">
        <f>IF(G647=0,REPT("　",O643*L643),CONCATENATE("③　",'記入シート'!C345,REPT("　",O643*L643+ABS(G649))))</f>
      </c>
      <c r="R643" s="1264"/>
      <c r="S643" s="1264"/>
      <c r="T643" s="1265"/>
    </row>
    <row r="644" spans="2:20" ht="19.5" customHeight="1">
      <c r="B644" s="1370"/>
      <c r="C644" s="1370"/>
      <c r="D644" s="1371"/>
      <c r="E644" s="909" t="s">
        <v>136</v>
      </c>
      <c r="F644" s="891"/>
      <c r="G644" s="1475">
        <f>IF(G643&gt;2,G643-2,0)</f>
        <v>2487</v>
      </c>
      <c r="H644" s="1476"/>
      <c r="I644" s="891" t="s">
        <v>452</v>
      </c>
      <c r="J644" s="1047"/>
      <c r="K644" s="1051"/>
      <c r="L644" s="1179"/>
      <c r="M644" s="1176"/>
      <c r="N644" s="1387"/>
      <c r="O644" s="1381"/>
      <c r="P644" s="1384"/>
      <c r="Q644" s="1266"/>
      <c r="R644" s="1267"/>
      <c r="S644" s="1267"/>
      <c r="T644" s="1268"/>
    </row>
    <row r="645" spans="2:20" ht="19.5" customHeight="1">
      <c r="B645" s="1370"/>
      <c r="C645" s="1370"/>
      <c r="D645" s="1371"/>
      <c r="E645" s="909" t="s">
        <v>151</v>
      </c>
      <c r="F645" s="891"/>
      <c r="G645" s="1475">
        <f>LEN('記入シート'!C345)</f>
        <v>0</v>
      </c>
      <c r="H645" s="1476"/>
      <c r="I645" s="893" t="s">
        <v>452</v>
      </c>
      <c r="J645" s="1047"/>
      <c r="K645" s="1051"/>
      <c r="L645" s="1179"/>
      <c r="M645" s="1176"/>
      <c r="N645" s="1388"/>
      <c r="O645" s="1382"/>
      <c r="P645" s="1385"/>
      <c r="Q645" s="1266"/>
      <c r="R645" s="1267"/>
      <c r="S645" s="1267"/>
      <c r="T645" s="1268"/>
    </row>
    <row r="646" spans="2:20" ht="19.5" customHeight="1">
      <c r="B646" s="1370"/>
      <c r="C646" s="1370"/>
      <c r="D646" s="1371"/>
      <c r="E646" s="909" t="s">
        <v>167</v>
      </c>
      <c r="F646" s="891"/>
      <c r="G646" s="1470" t="str">
        <f>IF(G645&gt;G644,"OVER","INSIDE")</f>
        <v>INSIDE</v>
      </c>
      <c r="H646" s="1471"/>
      <c r="I646" s="1472"/>
      <c r="J646" s="1047"/>
      <c r="K646" s="1051"/>
      <c r="L646" s="1179"/>
      <c r="M646" s="1176"/>
      <c r="N646" s="505"/>
      <c r="O646" s="488"/>
      <c r="P646" s="489"/>
      <c r="Q646" s="1266"/>
      <c r="R646" s="1267"/>
      <c r="S646" s="1267"/>
      <c r="T646" s="1268"/>
    </row>
    <row r="647" spans="2:20" ht="19.5" customHeight="1">
      <c r="B647" s="1370"/>
      <c r="C647" s="1370"/>
      <c r="D647" s="1371"/>
      <c r="E647" s="501" t="s">
        <v>155</v>
      </c>
      <c r="F647" s="476"/>
      <c r="G647" s="1229">
        <f>IF(G645=0,0,IF(G646="OVER",0,G645+2))</f>
        <v>0</v>
      </c>
      <c r="H647" s="1230"/>
      <c r="I647" s="480" t="s">
        <v>452</v>
      </c>
      <c r="J647" s="1047"/>
      <c r="K647" s="1051"/>
      <c r="L647" s="1179"/>
      <c r="M647" s="1176"/>
      <c r="N647" s="505"/>
      <c r="O647" s="488"/>
      <c r="P647" s="489"/>
      <c r="Q647" s="1266"/>
      <c r="R647" s="1267"/>
      <c r="S647" s="1267"/>
      <c r="T647" s="1268"/>
    </row>
    <row r="648" spans="2:20" ht="19.5" customHeight="1">
      <c r="B648" s="1370"/>
      <c r="C648" s="1370"/>
      <c r="D648" s="1371"/>
      <c r="E648" s="506" t="s">
        <v>451</v>
      </c>
      <c r="F648" s="507"/>
      <c r="G648" s="1229">
        <f>ROUNDUP(G647/L643,0)</f>
        <v>0</v>
      </c>
      <c r="H648" s="1230"/>
      <c r="I648" s="480" t="s">
        <v>453</v>
      </c>
      <c r="J648" s="1047"/>
      <c r="K648" s="1051"/>
      <c r="L648" s="1179"/>
      <c r="M648" s="1176"/>
      <c r="N648" s="505"/>
      <c r="O648" s="488"/>
      <c r="P648" s="489"/>
      <c r="Q648" s="1266"/>
      <c r="R648" s="1267"/>
      <c r="S648" s="1267"/>
      <c r="T648" s="1268"/>
    </row>
    <row r="649" spans="2:20" ht="19.5" customHeight="1">
      <c r="B649" s="1370"/>
      <c r="C649" s="1370"/>
      <c r="D649" s="1371"/>
      <c r="E649" s="506" t="s">
        <v>419</v>
      </c>
      <c r="F649" s="507"/>
      <c r="G649" s="1229">
        <f>G647-G648*L643</f>
        <v>0</v>
      </c>
      <c r="H649" s="1230"/>
      <c r="I649" s="480" t="s">
        <v>452</v>
      </c>
      <c r="J649" s="1047"/>
      <c r="K649" s="1051"/>
      <c r="L649" s="1179"/>
      <c r="M649" s="1176"/>
      <c r="N649" s="505"/>
      <c r="O649" s="488"/>
      <c r="P649" s="489"/>
      <c r="Q649" s="1266"/>
      <c r="R649" s="1267"/>
      <c r="S649" s="1267"/>
      <c r="T649" s="1268"/>
    </row>
    <row r="650" spans="2:20" ht="19.5" customHeight="1" thickBot="1">
      <c r="B650" s="1370"/>
      <c r="C650" s="1370"/>
      <c r="D650" s="1371"/>
      <c r="E650" s="877" t="s">
        <v>423</v>
      </c>
      <c r="F650" s="508"/>
      <c r="G650" s="1241">
        <f>G648*L643</f>
        <v>0</v>
      </c>
      <c r="H650" s="1242"/>
      <c r="I650" s="495" t="s">
        <v>452</v>
      </c>
      <c r="J650" s="1047"/>
      <c r="K650" s="1051"/>
      <c r="L650" s="1179"/>
      <c r="M650" s="1176"/>
      <c r="N650" s="505"/>
      <c r="O650" s="488"/>
      <c r="P650" s="489"/>
      <c r="Q650" s="1266"/>
      <c r="R650" s="1267"/>
      <c r="S650" s="1267"/>
      <c r="T650" s="1268"/>
    </row>
    <row r="651" spans="2:20" ht="19.5" customHeight="1">
      <c r="B651" s="1370" t="s">
        <v>195</v>
      </c>
      <c r="C651" s="1376" t="s">
        <v>332</v>
      </c>
      <c r="D651" s="1375" t="s">
        <v>338</v>
      </c>
      <c r="E651" s="500" t="s">
        <v>437</v>
      </c>
      <c r="F651" s="492"/>
      <c r="G651" s="1239">
        <f>IF(G607-G606-O599*L599&lt;0,0,G607-G606-O599*L599)</f>
        <v>2489</v>
      </c>
      <c r="H651" s="1240"/>
      <c r="I651" s="492" t="s">
        <v>452</v>
      </c>
      <c r="J651" s="1047"/>
      <c r="K651" s="1051"/>
      <c r="L651" s="1179"/>
      <c r="M651" s="1176"/>
      <c r="N651" s="505"/>
      <c r="O651" s="488"/>
      <c r="P651" s="489"/>
      <c r="Q651" s="1266"/>
      <c r="R651" s="1267"/>
      <c r="S651" s="1267"/>
      <c r="T651" s="1268"/>
    </row>
    <row r="652" spans="2:20" ht="19.5" customHeight="1">
      <c r="B652" s="1370"/>
      <c r="C652" s="1370"/>
      <c r="D652" s="1371"/>
      <c r="E652" s="573" t="s">
        <v>136</v>
      </c>
      <c r="F652" s="480"/>
      <c r="G652" s="1206">
        <f>IF(G651&gt;2,G651-2,0)</f>
        <v>2487</v>
      </c>
      <c r="H652" s="1207"/>
      <c r="I652" s="796" t="s">
        <v>452</v>
      </c>
      <c r="J652" s="1047"/>
      <c r="K652" s="1051"/>
      <c r="L652" s="1179"/>
      <c r="M652" s="1176"/>
      <c r="N652" s="505"/>
      <c r="O652" s="488"/>
      <c r="P652" s="489"/>
      <c r="Q652" s="1266"/>
      <c r="R652" s="1267"/>
      <c r="S652" s="1267"/>
      <c r="T652" s="1268"/>
    </row>
    <row r="653" spans="2:20" ht="19.5" customHeight="1">
      <c r="B653" s="1370"/>
      <c r="C653" s="1370"/>
      <c r="D653" s="1371"/>
      <c r="E653" s="501" t="s">
        <v>151</v>
      </c>
      <c r="F653" s="476"/>
      <c r="G653" s="1229">
        <f>LEN('記入シート'!C345)</f>
        <v>0</v>
      </c>
      <c r="H653" s="1230"/>
      <c r="I653" s="480" t="s">
        <v>452</v>
      </c>
      <c r="J653" s="1047"/>
      <c r="K653" s="1051"/>
      <c r="L653" s="1179"/>
      <c r="M653" s="1176"/>
      <c r="N653" s="505"/>
      <c r="O653" s="488"/>
      <c r="P653" s="489"/>
      <c r="Q653" s="1266"/>
      <c r="R653" s="1267"/>
      <c r="S653" s="1267"/>
      <c r="T653" s="1268"/>
    </row>
    <row r="654" spans="2:20" ht="19.5" customHeight="1" thickBot="1">
      <c r="B654" s="1370"/>
      <c r="C654" s="1377"/>
      <c r="D654" s="1379"/>
      <c r="E654" s="910" t="s">
        <v>167</v>
      </c>
      <c r="F654" s="552"/>
      <c r="G654" s="1243" t="str">
        <f>IF(G653&gt;G652,"OVER","INSIDE")</f>
        <v>INSIDE</v>
      </c>
      <c r="H654" s="1244"/>
      <c r="I654" s="1245"/>
      <c r="J654" s="1048"/>
      <c r="K654" s="1045"/>
      <c r="L654" s="1180"/>
      <c r="M654" s="1177"/>
      <c r="N654" s="509"/>
      <c r="O654" s="496"/>
      <c r="P654" s="497"/>
      <c r="Q654" s="1269"/>
      <c r="R654" s="1270"/>
      <c r="S654" s="1270"/>
      <c r="T654" s="1271"/>
    </row>
    <row r="655" spans="2:20" ht="19.5" customHeight="1">
      <c r="B655" s="1370" t="s">
        <v>195</v>
      </c>
      <c r="C655" s="1376" t="s">
        <v>400</v>
      </c>
      <c r="D655" s="1375" t="s">
        <v>266</v>
      </c>
      <c r="E655" s="511"/>
      <c r="F655" s="553" t="s">
        <v>455</v>
      </c>
      <c r="G655" s="1468">
        <f>LEN(LEFT('記入シート'!C349,L655))</f>
        <v>0</v>
      </c>
      <c r="H655" s="1469"/>
      <c r="I655" s="554" t="s">
        <v>452</v>
      </c>
      <c r="J655" s="1040" t="s">
        <v>352</v>
      </c>
      <c r="K655" s="1050">
        <f ca="1">CELL("row",'記入シート'!C349)</f>
        <v>349</v>
      </c>
      <c r="L655" s="1179">
        <f>$L$40</f>
        <v>6</v>
      </c>
      <c r="M655" s="1893">
        <f>M643</f>
        <v>131</v>
      </c>
      <c r="N655" s="1652" t="s">
        <v>474</v>
      </c>
      <c r="O655" s="1381">
        <f>SUM(G655:H662)</f>
        <v>0</v>
      </c>
      <c r="P655" s="1654" t="s">
        <v>452</v>
      </c>
      <c r="Q655" s="1554">
        <f>IF(O660=0,REPT("　",O670*L655),CONCATENATE(LEFT('記入シート'!C349,L655),REPT("　",G656),LEFT('記入シート'!C350,L655),REPT("　",G658),LEFT('記入シート'!C351,L655),REPT("　",G660),LEFT('記入シート'!C352,L655),REPT("　",G662),REPT("　",L655*O662)))</f>
      </c>
      <c r="R655" s="313"/>
      <c r="S655" s="313"/>
      <c r="T655" s="313"/>
    </row>
    <row r="656" spans="2:20" ht="19.5" customHeight="1">
      <c r="B656" s="1370"/>
      <c r="C656" s="1370"/>
      <c r="D656" s="1371"/>
      <c r="E656" s="511"/>
      <c r="F656" s="508" t="s">
        <v>458</v>
      </c>
      <c r="G656" s="1229">
        <f>IF(G655=0,0,$L$40-G655)</f>
        <v>0</v>
      </c>
      <c r="H656" s="1230"/>
      <c r="I656" s="495" t="s">
        <v>452</v>
      </c>
      <c r="J656" s="1172"/>
      <c r="K656" s="1051"/>
      <c r="L656" s="1179"/>
      <c r="M656" s="1893"/>
      <c r="N656" s="1652"/>
      <c r="O656" s="1381"/>
      <c r="P656" s="1654"/>
      <c r="Q656" s="1554"/>
      <c r="R656" s="313"/>
      <c r="S656" s="313"/>
      <c r="T656" s="313"/>
    </row>
    <row r="657" spans="2:20" ht="19.5" customHeight="1">
      <c r="B657" s="1370"/>
      <c r="C657" s="1370"/>
      <c r="D657" s="1371"/>
      <c r="E657" s="511"/>
      <c r="F657" s="508" t="s">
        <v>456</v>
      </c>
      <c r="G657" s="1229">
        <f>LEN(LEFT('記入シート'!C350,L655))</f>
        <v>0</v>
      </c>
      <c r="H657" s="1230"/>
      <c r="I657" s="495" t="s">
        <v>452</v>
      </c>
      <c r="J657" s="1172" t="s">
        <v>352</v>
      </c>
      <c r="K657" s="1044">
        <f ca="1">CELL("row",'記入シート'!C350)</f>
        <v>350</v>
      </c>
      <c r="L657" s="1179"/>
      <c r="M657" s="1893"/>
      <c r="N657" s="1652"/>
      <c r="O657" s="1381"/>
      <c r="P657" s="1654"/>
      <c r="Q657" s="1554"/>
      <c r="R657" s="313"/>
      <c r="S657" s="313"/>
      <c r="T657" s="313"/>
    </row>
    <row r="658" spans="2:20" ht="19.5" customHeight="1">
      <c r="B658" s="1370"/>
      <c r="C658" s="1370"/>
      <c r="D658" s="1371"/>
      <c r="E658" s="511" t="s">
        <v>401</v>
      </c>
      <c r="F658" s="508" t="s">
        <v>459</v>
      </c>
      <c r="G658" s="1229">
        <f>IF(G657=0,0,$L$40-G657)</f>
        <v>0</v>
      </c>
      <c r="H658" s="1230"/>
      <c r="I658" s="495" t="s">
        <v>452</v>
      </c>
      <c r="J658" s="1172"/>
      <c r="K658" s="1044"/>
      <c r="L658" s="1179"/>
      <c r="M658" s="1893"/>
      <c r="N658" s="1652"/>
      <c r="O658" s="1381"/>
      <c r="P658" s="1654"/>
      <c r="Q658" s="1549"/>
      <c r="R658" s="313"/>
      <c r="S658" s="313"/>
      <c r="T658" s="313"/>
    </row>
    <row r="659" spans="2:20" ht="19.5" customHeight="1">
      <c r="B659" s="1370"/>
      <c r="C659" s="1370"/>
      <c r="D659" s="1371"/>
      <c r="E659" s="511" t="s">
        <v>285</v>
      </c>
      <c r="F659" s="507" t="s">
        <v>475</v>
      </c>
      <c r="G659" s="1229">
        <f>LEN(LEFT('記入シート'!C351,L655))</f>
        <v>0</v>
      </c>
      <c r="H659" s="1230"/>
      <c r="I659" s="495" t="s">
        <v>452</v>
      </c>
      <c r="J659" s="1046" t="s">
        <v>352</v>
      </c>
      <c r="K659" s="1044">
        <f ca="1">CELL("row",'記入シート'!C351)</f>
        <v>351</v>
      </c>
      <c r="L659" s="1179"/>
      <c r="M659" s="1893"/>
      <c r="N659" s="1653"/>
      <c r="O659" s="1382"/>
      <c r="P659" s="1655"/>
      <c r="Q659" s="320"/>
      <c r="R659" s="313"/>
      <c r="S659" s="313"/>
      <c r="T659" s="313"/>
    </row>
    <row r="660" spans="2:20" ht="19.5" customHeight="1">
      <c r="B660" s="1370"/>
      <c r="C660" s="1370"/>
      <c r="D660" s="1371"/>
      <c r="E660" s="511"/>
      <c r="F660" s="507" t="s">
        <v>476</v>
      </c>
      <c r="G660" s="1229">
        <f>IF(G659=0,0,$L$40-G659)</f>
        <v>0</v>
      </c>
      <c r="H660" s="1230"/>
      <c r="I660" s="495" t="s">
        <v>452</v>
      </c>
      <c r="J660" s="1040"/>
      <c r="K660" s="1044"/>
      <c r="L660" s="1179"/>
      <c r="M660" s="1893"/>
      <c r="N660" s="1641" t="s">
        <v>480</v>
      </c>
      <c r="O660" s="1628">
        <f>O655/$L$40</f>
        <v>0</v>
      </c>
      <c r="P660" s="1629" t="s">
        <v>453</v>
      </c>
      <c r="Q660" s="320"/>
      <c r="R660" s="313"/>
      <c r="S660" s="313"/>
      <c r="T660" s="313"/>
    </row>
    <row r="661" spans="2:20" ht="19.5" customHeight="1">
      <c r="B661" s="1370"/>
      <c r="C661" s="1370"/>
      <c r="D661" s="1371"/>
      <c r="E661" s="511"/>
      <c r="F661" s="507" t="s">
        <v>477</v>
      </c>
      <c r="G661" s="1229">
        <f>LEN(LEFT('記入シート'!C352,L655))</f>
        <v>0</v>
      </c>
      <c r="H661" s="1230"/>
      <c r="I661" s="495" t="s">
        <v>452</v>
      </c>
      <c r="J661" s="1046" t="s">
        <v>352</v>
      </c>
      <c r="K661" s="1044">
        <f ca="1">CELL("row",'記入シート'!C352)</f>
        <v>352</v>
      </c>
      <c r="L661" s="1179"/>
      <c r="M661" s="1893"/>
      <c r="N661" s="1388"/>
      <c r="O661" s="1382"/>
      <c r="P661" s="1385"/>
      <c r="Q661" s="995"/>
      <c r="R661" s="313"/>
      <c r="S661" s="313"/>
      <c r="T661" s="313"/>
    </row>
    <row r="662" spans="2:20" ht="19.5" customHeight="1">
      <c r="B662" s="1370"/>
      <c r="C662" s="1370"/>
      <c r="D662" s="1371"/>
      <c r="E662" s="511"/>
      <c r="F662" s="508" t="s">
        <v>478</v>
      </c>
      <c r="G662" s="1229">
        <f>IF(G661=0,0,$L$40-G661)</f>
        <v>0</v>
      </c>
      <c r="H662" s="1230"/>
      <c r="I662" s="495" t="s">
        <v>452</v>
      </c>
      <c r="J662" s="1040"/>
      <c r="K662" s="1044"/>
      <c r="L662" s="1179"/>
      <c r="M662" s="1893"/>
      <c r="N662" s="555" t="s">
        <v>482</v>
      </c>
      <c r="O662" s="556">
        <f>O670-O660</f>
        <v>0</v>
      </c>
      <c r="P662" s="515" t="s">
        <v>453</v>
      </c>
      <c r="Q662" s="995"/>
      <c r="R662" s="313"/>
      <c r="S662" s="313"/>
      <c r="T662" s="313"/>
    </row>
    <row r="663" spans="2:20" ht="19.5" customHeight="1">
      <c r="B663" s="1370"/>
      <c r="C663" s="1370"/>
      <c r="D663" s="1371"/>
      <c r="E663" s="531"/>
      <c r="F663" s="528"/>
      <c r="G663" s="528"/>
      <c r="H663" s="529"/>
      <c r="I663" s="532"/>
      <c r="J663" s="1028"/>
      <c r="K663" s="532"/>
      <c r="L663" s="533"/>
      <c r="M663" s="534"/>
      <c r="N663" s="1647" t="s">
        <v>124</v>
      </c>
      <c r="O663" s="1534" t="str">
        <f>IF(O660&gt;G651/L643,"OVER","INSIDE")</f>
        <v>INSIDE</v>
      </c>
      <c r="P663" s="1535"/>
      <c r="Q663" s="424"/>
      <c r="R663" s="419"/>
      <c r="S663" s="419"/>
      <c r="T663" s="419"/>
    </row>
    <row r="664" spans="2:20" ht="19.5" customHeight="1" thickBot="1">
      <c r="B664" s="1370"/>
      <c r="C664" s="1370"/>
      <c r="D664" s="1371"/>
      <c r="E664" s="557"/>
      <c r="F664" s="558"/>
      <c r="G664" s="558"/>
      <c r="H664" s="559"/>
      <c r="I664" s="560"/>
      <c r="J664" s="1029"/>
      <c r="K664" s="560"/>
      <c r="L664" s="561"/>
      <c r="M664" s="562"/>
      <c r="N664" s="1648"/>
      <c r="O664" s="1536"/>
      <c r="P664" s="1537"/>
      <c r="Q664" s="424"/>
      <c r="R664" s="419"/>
      <c r="S664" s="419"/>
      <c r="T664" s="419"/>
    </row>
    <row r="665" spans="2:20" ht="19.5" customHeight="1">
      <c r="B665" s="1370" t="s">
        <v>195</v>
      </c>
      <c r="C665" s="1370" t="s">
        <v>400</v>
      </c>
      <c r="D665" s="1371" t="s">
        <v>266</v>
      </c>
      <c r="E665" s="525"/>
      <c r="F665" s="526" t="s">
        <v>455</v>
      </c>
      <c r="G665" s="1239">
        <f>LEN(LEFT('記入シート'!C355,L665))</f>
        <v>0</v>
      </c>
      <c r="H665" s="1240"/>
      <c r="I665" s="527" t="s">
        <v>452</v>
      </c>
      <c r="J665" s="1228" t="s">
        <v>352</v>
      </c>
      <c r="K665" s="1050">
        <f ca="1">CELL("row",'記入シート'!C355)</f>
        <v>355</v>
      </c>
      <c r="L665" s="1752">
        <f>$L$49</f>
        <v>6</v>
      </c>
      <c r="M665" s="1650">
        <f>M643</f>
        <v>131</v>
      </c>
      <c r="N665" s="1651" t="s">
        <v>484</v>
      </c>
      <c r="O665" s="1634">
        <f>SUM(G665:H668)</f>
        <v>0</v>
      </c>
      <c r="P665" s="1635" t="s">
        <v>452</v>
      </c>
      <c r="Q665" s="1548">
        <f>IF(O668=0,REPT("　",O670*L665),CONCATENATE(LEFT('記入シート'!C355,L665),REPT("　",G666),LEFT('記入シート'!C356,L665),REPT("　",G668),REPT("　",L665*O673)))</f>
      </c>
      <c r="R665" s="419"/>
      <c r="S665" s="419"/>
      <c r="T665" s="419"/>
    </row>
    <row r="666" spans="2:20" ht="19.5" customHeight="1">
      <c r="B666" s="1370"/>
      <c r="C666" s="1370"/>
      <c r="D666" s="1371"/>
      <c r="E666" s="511" t="s">
        <v>402</v>
      </c>
      <c r="F666" s="508" t="s">
        <v>458</v>
      </c>
      <c r="G666" s="1229">
        <f>IF(G665=0,0,$L$49-G665)</f>
        <v>0</v>
      </c>
      <c r="H666" s="1230"/>
      <c r="I666" s="495" t="s">
        <v>452</v>
      </c>
      <c r="J666" s="1172"/>
      <c r="K666" s="1051"/>
      <c r="L666" s="1179"/>
      <c r="M666" s="1639"/>
      <c r="N666" s="1652"/>
      <c r="O666" s="1381"/>
      <c r="P666" s="1384"/>
      <c r="Q666" s="1549"/>
      <c r="R666" s="419"/>
      <c r="S666" s="419"/>
      <c r="T666" s="419"/>
    </row>
    <row r="667" spans="2:20" ht="19.5" customHeight="1">
      <c r="B667" s="1370"/>
      <c r="C667" s="1370"/>
      <c r="D667" s="1371"/>
      <c r="E667" s="511" t="s">
        <v>285</v>
      </c>
      <c r="F667" s="508" t="s">
        <v>456</v>
      </c>
      <c r="G667" s="1229">
        <f>LEN(LEFT('記入シート'!C356,L665))</f>
        <v>0</v>
      </c>
      <c r="H667" s="1230"/>
      <c r="I667" s="495" t="s">
        <v>452</v>
      </c>
      <c r="J667" s="1046" t="s">
        <v>352</v>
      </c>
      <c r="K667" s="1059">
        <f ca="1">CELL("row",'記入シート'!C356)</f>
        <v>356</v>
      </c>
      <c r="L667" s="1179"/>
      <c r="M667" s="1639"/>
      <c r="N667" s="1653"/>
      <c r="O667" s="1382"/>
      <c r="P667" s="1385"/>
      <c r="Q667" s="424"/>
      <c r="R667" s="419"/>
      <c r="S667" s="419"/>
      <c r="T667" s="419"/>
    </row>
    <row r="668" spans="2:20" ht="19.5" customHeight="1">
      <c r="B668" s="1370"/>
      <c r="C668" s="1370"/>
      <c r="D668" s="1371"/>
      <c r="E668" s="511"/>
      <c r="F668" s="507" t="s">
        <v>459</v>
      </c>
      <c r="G668" s="1229">
        <f>IF(G667=0,0,$L$49-G667)</f>
        <v>0</v>
      </c>
      <c r="H668" s="1230"/>
      <c r="I668" s="480" t="s">
        <v>452</v>
      </c>
      <c r="J668" s="1040"/>
      <c r="K668" s="1060"/>
      <c r="L668" s="1887"/>
      <c r="M668" s="1639"/>
      <c r="N668" s="1641" t="s">
        <v>479</v>
      </c>
      <c r="O668" s="1628">
        <f>O665/$L$49</f>
        <v>0</v>
      </c>
      <c r="P668" s="1629" t="s">
        <v>453</v>
      </c>
      <c r="Q668" s="424"/>
      <c r="R668" s="419"/>
      <c r="S668" s="419"/>
      <c r="T668" s="419"/>
    </row>
    <row r="669" spans="2:20" ht="19.5" customHeight="1">
      <c r="B669" s="1370"/>
      <c r="C669" s="1370"/>
      <c r="D669" s="1371"/>
      <c r="E669" s="531"/>
      <c r="F669" s="528"/>
      <c r="G669" s="528"/>
      <c r="H669" s="529"/>
      <c r="I669" s="532"/>
      <c r="J669" s="1028"/>
      <c r="K669" s="532"/>
      <c r="L669" s="533"/>
      <c r="M669" s="533"/>
      <c r="N669" s="1387"/>
      <c r="O669" s="1381"/>
      <c r="P669" s="1384"/>
      <c r="Q669" s="424"/>
      <c r="R669" s="419"/>
      <c r="S669" s="419"/>
      <c r="T669" s="419"/>
    </row>
    <row r="670" spans="2:20" ht="19.5" customHeight="1">
      <c r="B670" s="1370"/>
      <c r="C670" s="1370"/>
      <c r="D670" s="1371"/>
      <c r="E670" s="531"/>
      <c r="F670" s="535"/>
      <c r="G670" s="535"/>
      <c r="H670" s="536"/>
      <c r="I670" s="537"/>
      <c r="J670" s="1030"/>
      <c r="K670" s="537"/>
      <c r="L670" s="539"/>
      <c r="M670" s="539"/>
      <c r="N670" s="1641" t="s">
        <v>483</v>
      </c>
      <c r="O670" s="1628">
        <f>MAX(G648,O660,O668)</f>
        <v>0</v>
      </c>
      <c r="P670" s="1629" t="s">
        <v>453</v>
      </c>
      <c r="Q670" s="424"/>
      <c r="R670" s="419"/>
      <c r="S670" s="419"/>
      <c r="T670" s="419"/>
    </row>
    <row r="671" spans="2:20" ht="19.5" customHeight="1">
      <c r="B671" s="1370"/>
      <c r="C671" s="1370"/>
      <c r="D671" s="1371"/>
      <c r="E671" s="531"/>
      <c r="F671" s="535"/>
      <c r="G671" s="535"/>
      <c r="H671" s="536"/>
      <c r="I671" s="537"/>
      <c r="J671" s="1030"/>
      <c r="K671" s="537"/>
      <c r="L671" s="539"/>
      <c r="M671" s="539"/>
      <c r="N671" s="1387"/>
      <c r="O671" s="1381"/>
      <c r="P671" s="1384"/>
      <c r="Q671" s="424"/>
      <c r="R671" s="419"/>
      <c r="S671" s="419"/>
      <c r="T671" s="419"/>
    </row>
    <row r="672" spans="2:20" ht="19.5" customHeight="1">
      <c r="B672" s="1370"/>
      <c r="C672" s="1370"/>
      <c r="D672" s="1371"/>
      <c r="E672" s="531"/>
      <c r="F672" s="535"/>
      <c r="G672" s="535"/>
      <c r="H672" s="536"/>
      <c r="I672" s="537"/>
      <c r="J672" s="1030"/>
      <c r="K672" s="537"/>
      <c r="L672" s="539"/>
      <c r="M672" s="539"/>
      <c r="N672" s="1388"/>
      <c r="O672" s="1382"/>
      <c r="P672" s="1385"/>
      <c r="Q672" s="424"/>
      <c r="R672" s="419"/>
      <c r="S672" s="419"/>
      <c r="T672" s="419"/>
    </row>
    <row r="673" spans="2:20" ht="19.5" customHeight="1">
      <c r="B673" s="1370"/>
      <c r="C673" s="1370"/>
      <c r="D673" s="1371"/>
      <c r="E673" s="531"/>
      <c r="F673" s="535"/>
      <c r="G673" s="535"/>
      <c r="H673" s="536"/>
      <c r="I673" s="537"/>
      <c r="J673" s="1030"/>
      <c r="K673" s="537"/>
      <c r="L673" s="539"/>
      <c r="M673" s="539"/>
      <c r="N673" s="514" t="s">
        <v>485</v>
      </c>
      <c r="O673" s="488">
        <f>O670-O668</f>
        <v>0</v>
      </c>
      <c r="P673" s="502" t="s">
        <v>453</v>
      </c>
      <c r="Q673" s="424"/>
      <c r="R673" s="419"/>
      <c r="S673" s="419"/>
      <c r="T673" s="419"/>
    </row>
    <row r="674" spans="2:20" ht="19.5" customHeight="1">
      <c r="B674" s="1370"/>
      <c r="C674" s="1370"/>
      <c r="D674" s="1371"/>
      <c r="E674" s="531"/>
      <c r="F674" s="535"/>
      <c r="G674" s="535"/>
      <c r="H674" s="536"/>
      <c r="I674" s="537"/>
      <c r="J674" s="1030"/>
      <c r="K674" s="537"/>
      <c r="L674" s="539"/>
      <c r="M674" s="539"/>
      <c r="N674" s="1647" t="s">
        <v>125</v>
      </c>
      <c r="O674" s="1534" t="str">
        <f>IF(O668&gt;G651/L643,"OVER","INSIDE")</f>
        <v>INSIDE</v>
      </c>
      <c r="P674" s="1535"/>
      <c r="Q674" s="424"/>
      <c r="R674" s="419"/>
      <c r="S674" s="419"/>
      <c r="T674" s="419"/>
    </row>
    <row r="675" spans="2:20" ht="19.5" customHeight="1" thickBot="1">
      <c r="B675" s="1370"/>
      <c r="C675" s="1370"/>
      <c r="D675" s="1371"/>
      <c r="E675" s="531"/>
      <c r="F675" s="535"/>
      <c r="G675" s="535"/>
      <c r="H675" s="536"/>
      <c r="I675" s="537"/>
      <c r="J675" s="1030"/>
      <c r="K675" s="537"/>
      <c r="L675" s="539"/>
      <c r="M675" s="539"/>
      <c r="N675" s="1648"/>
      <c r="O675" s="1536"/>
      <c r="P675" s="1537"/>
      <c r="Q675" s="424"/>
      <c r="R675" s="419"/>
      <c r="S675" s="419"/>
      <c r="T675" s="419"/>
    </row>
    <row r="676" spans="2:20" ht="19.5" customHeight="1">
      <c r="B676" s="1370" t="s">
        <v>195</v>
      </c>
      <c r="C676" s="1370" t="s">
        <v>400</v>
      </c>
      <c r="D676" s="1371" t="s">
        <v>266</v>
      </c>
      <c r="E676" s="525"/>
      <c r="F676" s="541" t="s">
        <v>1</v>
      </c>
      <c r="G676" s="1239">
        <f>LEN(LEFT('記入シート'!D359,2))</f>
        <v>0</v>
      </c>
      <c r="H676" s="1240"/>
      <c r="I676" s="527" t="s">
        <v>452</v>
      </c>
      <c r="J676" s="1228" t="s">
        <v>353</v>
      </c>
      <c r="K676" s="1043">
        <f ca="1">CELL("row",'記入シート'!D359)</f>
        <v>359</v>
      </c>
      <c r="L676" s="1890">
        <v>2</v>
      </c>
      <c r="M676" s="1650">
        <f>M643</f>
        <v>131</v>
      </c>
      <c r="N676" s="1649" t="s">
        <v>8</v>
      </c>
      <c r="O676" s="1634">
        <f>IF(G676=0,0,1)</f>
        <v>0</v>
      </c>
      <c r="P676" s="1635" t="s">
        <v>453</v>
      </c>
      <c r="Q676" s="503" t="s">
        <v>6</v>
      </c>
      <c r="R676" s="419"/>
      <c r="S676" s="419"/>
      <c r="T676" s="419"/>
    </row>
    <row r="677" spans="2:20" ht="19.5" customHeight="1">
      <c r="B677" s="1370"/>
      <c r="C677" s="1370"/>
      <c r="D677" s="1371"/>
      <c r="E677" s="511"/>
      <c r="F677" s="508" t="s">
        <v>2</v>
      </c>
      <c r="G677" s="1229">
        <f>$L$58-G676</f>
        <v>2</v>
      </c>
      <c r="H677" s="1230"/>
      <c r="I677" s="495" t="s">
        <v>452</v>
      </c>
      <c r="J677" s="1172"/>
      <c r="K677" s="1060"/>
      <c r="L677" s="1637"/>
      <c r="M677" s="1640"/>
      <c r="N677" s="1646"/>
      <c r="O677" s="1382"/>
      <c r="P677" s="1385"/>
      <c r="Q677" s="986">
        <f>IF(G647=0,"",IF(O676=0,REPT("　",5*O678),CONCATENATE(REPT("　",G677),LEFT('記入シート'!D359,L676),"／",REPT("　",G679),LEFT('記入シート'!G359,L678),REPT("　",5*O678))))</f>
      </c>
      <c r="R677" s="419"/>
      <c r="S677" s="419"/>
      <c r="T677" s="419"/>
    </row>
    <row r="678" spans="2:20" ht="19.5" customHeight="1">
      <c r="B678" s="1370"/>
      <c r="C678" s="1370"/>
      <c r="D678" s="1371"/>
      <c r="E678" s="511"/>
      <c r="F678" s="508" t="s">
        <v>3</v>
      </c>
      <c r="G678" s="1229">
        <f>LEN(LEFT('記入シート'!G359,2))</f>
        <v>0</v>
      </c>
      <c r="H678" s="1230"/>
      <c r="I678" s="495" t="s">
        <v>452</v>
      </c>
      <c r="J678" s="1172" t="s">
        <v>354</v>
      </c>
      <c r="K678" s="1059">
        <f ca="1">CELL("row",'記入シート'!G359)</f>
        <v>359</v>
      </c>
      <c r="L678" s="1637">
        <v>2</v>
      </c>
      <c r="M678" s="1639">
        <f>M643</f>
        <v>131</v>
      </c>
      <c r="N678" s="542" t="s">
        <v>9</v>
      </c>
      <c r="O678" s="543">
        <f>IF(O670=0,0,O670-O676)</f>
        <v>0</v>
      </c>
      <c r="P678" s="513" t="s">
        <v>453</v>
      </c>
      <c r="Q678" s="987"/>
      <c r="R678" s="419"/>
      <c r="S678" s="419"/>
      <c r="T678" s="419"/>
    </row>
    <row r="679" spans="2:20" ht="19.5" customHeight="1">
      <c r="B679" s="1370"/>
      <c r="C679" s="1370"/>
      <c r="D679" s="1371"/>
      <c r="E679" s="511" t="s">
        <v>403</v>
      </c>
      <c r="F679" s="508" t="s">
        <v>461</v>
      </c>
      <c r="G679" s="1229">
        <f>$L$60-G678</f>
        <v>2</v>
      </c>
      <c r="H679" s="1230"/>
      <c r="I679" s="495" t="s">
        <v>452</v>
      </c>
      <c r="J679" s="1172"/>
      <c r="K679" s="1060"/>
      <c r="L679" s="1637"/>
      <c r="M679" s="1639"/>
      <c r="N679" s="487"/>
      <c r="O679" s="488"/>
      <c r="P679" s="489"/>
      <c r="Q679" s="988"/>
      <c r="R679" s="419"/>
      <c r="S679" s="419"/>
      <c r="T679" s="419"/>
    </row>
    <row r="680" spans="2:20" ht="19.5" customHeight="1">
      <c r="B680" s="1370"/>
      <c r="C680" s="1370"/>
      <c r="D680" s="1371"/>
      <c r="E680" s="511" t="s">
        <v>285</v>
      </c>
      <c r="F680" s="508" t="s">
        <v>4</v>
      </c>
      <c r="G680" s="1229">
        <f>LEN(LEFT('記入シート'!N359,2))</f>
        <v>0</v>
      </c>
      <c r="H680" s="1230"/>
      <c r="I680" s="495" t="s">
        <v>452</v>
      </c>
      <c r="J680" s="1172" t="s">
        <v>355</v>
      </c>
      <c r="K680" s="1059">
        <f ca="1">CELL("row",'記入シート'!N359)</f>
        <v>359</v>
      </c>
      <c r="L680" s="1637">
        <v>2</v>
      </c>
      <c r="M680" s="1639">
        <f>M643</f>
        <v>131</v>
      </c>
      <c r="N680" s="1645" t="s">
        <v>178</v>
      </c>
      <c r="O680" s="1628">
        <f>IF(G680=0,0,1)</f>
        <v>0</v>
      </c>
      <c r="P680" s="1629" t="s">
        <v>453</v>
      </c>
      <c r="Q680" s="503" t="s">
        <v>7</v>
      </c>
      <c r="R680" s="419"/>
      <c r="S680" s="419"/>
      <c r="T680" s="419"/>
    </row>
    <row r="681" spans="2:20" ht="19.5" customHeight="1">
      <c r="B681" s="1370"/>
      <c r="C681" s="1370"/>
      <c r="D681" s="1371"/>
      <c r="E681" s="511"/>
      <c r="F681" s="508" t="s">
        <v>5</v>
      </c>
      <c r="G681" s="1229">
        <f>$L$62-G680</f>
        <v>2</v>
      </c>
      <c r="H681" s="1230"/>
      <c r="I681" s="495" t="s">
        <v>452</v>
      </c>
      <c r="J681" s="1172"/>
      <c r="K681" s="1060"/>
      <c r="L681" s="1637"/>
      <c r="M681" s="1639"/>
      <c r="N681" s="1646"/>
      <c r="O681" s="1382"/>
      <c r="P681" s="1385"/>
      <c r="Q681" s="986">
        <f>IF(G647=0,"",IF(O680=0,REPT("　",5*O682),CONCATENATE(REPT("　",G681),LEFT('記入シート'!N359,L680),"／",REPT("　",G683),LEFT('記入シート'!Q359,L682),REPT("　",5*O682))))</f>
      </c>
      <c r="R681" s="419"/>
      <c r="S681" s="419"/>
      <c r="T681" s="419"/>
    </row>
    <row r="682" spans="2:20" ht="19.5" customHeight="1">
      <c r="B682" s="1370"/>
      <c r="C682" s="1370"/>
      <c r="D682" s="1371"/>
      <c r="E682" s="511"/>
      <c r="F682" s="508" t="s">
        <v>462</v>
      </c>
      <c r="G682" s="1229">
        <f>LEN(LEFT('記入シート'!Q359,2))</f>
        <v>0</v>
      </c>
      <c r="H682" s="1230"/>
      <c r="I682" s="495" t="s">
        <v>452</v>
      </c>
      <c r="J682" s="1172" t="s">
        <v>356</v>
      </c>
      <c r="K682" s="1059">
        <f ca="1">CELL("row",'記入シート'!Q359)</f>
        <v>359</v>
      </c>
      <c r="L682" s="1637">
        <v>2</v>
      </c>
      <c r="M682" s="1639">
        <f>M643</f>
        <v>131</v>
      </c>
      <c r="N682" s="542" t="s">
        <v>179</v>
      </c>
      <c r="O682" s="543">
        <f>IF(O670=0,0,O670-O680)</f>
        <v>0</v>
      </c>
      <c r="P682" s="513" t="s">
        <v>453</v>
      </c>
      <c r="Q682" s="987"/>
      <c r="R682" s="419"/>
      <c r="S682" s="419"/>
      <c r="T682" s="419"/>
    </row>
    <row r="683" spans="2:20" ht="19.5" customHeight="1" thickBot="1">
      <c r="B683" s="1370"/>
      <c r="C683" s="1370"/>
      <c r="D683" s="1371"/>
      <c r="E683" s="566"/>
      <c r="F683" s="508" t="s">
        <v>463</v>
      </c>
      <c r="G683" s="1446">
        <f>$L$64-G682</f>
        <v>2</v>
      </c>
      <c r="H683" s="1447"/>
      <c r="I683" s="495" t="s">
        <v>452</v>
      </c>
      <c r="J683" s="1636"/>
      <c r="K683" s="1049"/>
      <c r="L683" s="1638"/>
      <c r="M683" s="1640"/>
      <c r="N683" s="487"/>
      <c r="O683" s="488"/>
      <c r="P683" s="489"/>
      <c r="Q683" s="989"/>
      <c r="R683" s="419"/>
      <c r="S683" s="419"/>
      <c r="T683" s="419"/>
    </row>
    <row r="684" spans="2:20" ht="19.5" customHeight="1">
      <c r="B684" s="1370"/>
      <c r="C684" s="1370"/>
      <c r="D684" s="1371" t="s">
        <v>266</v>
      </c>
      <c r="E684" s="525" t="s">
        <v>404</v>
      </c>
      <c r="F684" s="526" t="s">
        <v>420</v>
      </c>
      <c r="G684" s="1239">
        <f>LEN(LEFT('記入シート'!C362,L684))</f>
        <v>0</v>
      </c>
      <c r="H684" s="1240"/>
      <c r="I684" s="527" t="s">
        <v>452</v>
      </c>
      <c r="J684" s="1233" t="s">
        <v>352</v>
      </c>
      <c r="K684" s="1050">
        <f ca="1">CELL("row",'記入シート'!C362)</f>
        <v>362</v>
      </c>
      <c r="L684" s="1752">
        <f>$L$66</f>
        <v>1</v>
      </c>
      <c r="M684" s="1630">
        <f>M643</f>
        <v>131</v>
      </c>
      <c r="N684" s="1649" t="s">
        <v>10</v>
      </c>
      <c r="O684" s="1634">
        <f>IF(G684=0,0,1)</f>
        <v>0</v>
      </c>
      <c r="P684" s="1635" t="s">
        <v>453</v>
      </c>
      <c r="Q684" s="639">
        <f>IF(G645=0,"",CONCATENATE(LEFT('記入シート'!C362,1),REPT("　",O686)))</f>
      </c>
      <c r="R684" s="419"/>
      <c r="S684" s="419"/>
      <c r="T684" s="419"/>
    </row>
    <row r="685" spans="2:20" ht="19.5" customHeight="1">
      <c r="B685" s="1370"/>
      <c r="C685" s="1370"/>
      <c r="D685" s="1371"/>
      <c r="E685" s="511" t="s">
        <v>285</v>
      </c>
      <c r="F685" s="508" t="s">
        <v>460</v>
      </c>
      <c r="G685" s="1229">
        <f>$L$66-G684</f>
        <v>1</v>
      </c>
      <c r="H685" s="1230"/>
      <c r="I685" s="495" t="s">
        <v>452</v>
      </c>
      <c r="J685" s="1047"/>
      <c r="K685" s="1051"/>
      <c r="L685" s="1179"/>
      <c r="M685" s="1176"/>
      <c r="N685" s="1646"/>
      <c r="O685" s="1382"/>
      <c r="P685" s="1385"/>
      <c r="Q685" s="424"/>
      <c r="R685" s="419"/>
      <c r="S685" s="419"/>
      <c r="T685" s="419"/>
    </row>
    <row r="686" spans="2:20" ht="19.5" customHeight="1" thickBot="1">
      <c r="B686" s="1373"/>
      <c r="C686" s="1373"/>
      <c r="D686" s="1372"/>
      <c r="E686" s="665"/>
      <c r="F686" s="545" t="s">
        <v>158</v>
      </c>
      <c r="G686" s="546" t="s">
        <v>159</v>
      </c>
      <c r="H686" s="452">
        <f>WIDECHAR('記入シート'!C362)</f>
      </c>
      <c r="I686" s="547" t="s">
        <v>160</v>
      </c>
      <c r="J686" s="1899"/>
      <c r="K686" s="1052"/>
      <c r="L686" s="1894"/>
      <c r="M686" s="1892"/>
      <c r="N686" s="563" t="s">
        <v>486</v>
      </c>
      <c r="O686" s="564">
        <f>IF(O670=0,0,O670-O684)</f>
        <v>0</v>
      </c>
      <c r="P686" s="565" t="s">
        <v>453</v>
      </c>
      <c r="Q686" s="462"/>
      <c r="R686" s="463"/>
      <c r="S686" s="463"/>
      <c r="T686" s="463"/>
    </row>
    <row r="687" spans="2:20" ht="19.5" customHeight="1" thickTop="1">
      <c r="B687" s="1374" t="s">
        <v>120</v>
      </c>
      <c r="C687" s="1374" t="s">
        <v>400</v>
      </c>
      <c r="D687" s="1378" t="s">
        <v>98</v>
      </c>
      <c r="E687" s="908" t="s">
        <v>437</v>
      </c>
      <c r="F687" s="906"/>
      <c r="G687" s="1473">
        <f>IF(G643-G650-O643*L643&lt;0,0,G643-G650-O643*L643)</f>
        <v>2489</v>
      </c>
      <c r="H687" s="1474"/>
      <c r="I687" s="906" t="s">
        <v>452</v>
      </c>
      <c r="J687" s="1233" t="s">
        <v>351</v>
      </c>
      <c r="K687" s="1050">
        <f ca="1">CELL("row",'記入シート'!C367)</f>
        <v>367</v>
      </c>
      <c r="L687" s="1234">
        <f>$L$32</f>
        <v>19</v>
      </c>
      <c r="M687" s="1235">
        <f>G695/L687</f>
        <v>131</v>
      </c>
      <c r="N687" s="1386" t="s">
        <v>144</v>
      </c>
      <c r="O687" s="1380">
        <f>O714-G692</f>
        <v>0</v>
      </c>
      <c r="P687" s="1383" t="s">
        <v>453</v>
      </c>
      <c r="Q687" s="1263">
        <f>IF(G691=0,REPT("　",O687*L687),CONCATENATE("④　",'記入シート'!C367,REPT("　",O687*L687+ABS(G693))))</f>
      </c>
      <c r="R687" s="1264"/>
      <c r="S687" s="1264"/>
      <c r="T687" s="1265"/>
    </row>
    <row r="688" spans="2:20" ht="19.5" customHeight="1">
      <c r="B688" s="1370"/>
      <c r="C688" s="1370"/>
      <c r="D688" s="1371"/>
      <c r="E688" s="909" t="s">
        <v>137</v>
      </c>
      <c r="F688" s="891"/>
      <c r="G688" s="1475">
        <f>IF(G687&gt;2,G687-2,0)</f>
        <v>2487</v>
      </c>
      <c r="H688" s="1476"/>
      <c r="I688" s="891" t="s">
        <v>452</v>
      </c>
      <c r="J688" s="1047"/>
      <c r="K688" s="1051"/>
      <c r="L688" s="1179"/>
      <c r="M688" s="1176"/>
      <c r="N688" s="1387"/>
      <c r="O688" s="1381"/>
      <c r="P688" s="1384"/>
      <c r="Q688" s="1266"/>
      <c r="R688" s="1267"/>
      <c r="S688" s="1267"/>
      <c r="T688" s="1268"/>
    </row>
    <row r="689" spans="2:20" ht="19.5" customHeight="1">
      <c r="B689" s="1370"/>
      <c r="C689" s="1370"/>
      <c r="D689" s="1371"/>
      <c r="E689" s="909" t="s">
        <v>152</v>
      </c>
      <c r="F689" s="891"/>
      <c r="G689" s="1475">
        <f>LEN('記入シート'!C367)</f>
        <v>0</v>
      </c>
      <c r="H689" s="1476"/>
      <c r="I689" s="893" t="s">
        <v>452</v>
      </c>
      <c r="J689" s="1047"/>
      <c r="K689" s="1051"/>
      <c r="L689" s="1179"/>
      <c r="M689" s="1176"/>
      <c r="N689" s="1388"/>
      <c r="O689" s="1382"/>
      <c r="P689" s="1385"/>
      <c r="Q689" s="1266"/>
      <c r="R689" s="1267"/>
      <c r="S689" s="1267"/>
      <c r="T689" s="1268"/>
    </row>
    <row r="690" spans="2:20" ht="19.5" customHeight="1">
      <c r="B690" s="1370"/>
      <c r="C690" s="1370"/>
      <c r="D690" s="1371"/>
      <c r="E690" s="909" t="s">
        <v>167</v>
      </c>
      <c r="F690" s="891"/>
      <c r="G690" s="1470" t="str">
        <f>IF(G689&gt;G688,"OVER","INSIDE")</f>
        <v>INSIDE</v>
      </c>
      <c r="H690" s="1471"/>
      <c r="I690" s="1472"/>
      <c r="J690" s="1047"/>
      <c r="K690" s="1051"/>
      <c r="L690" s="1179"/>
      <c r="M690" s="1176"/>
      <c r="N690" s="505"/>
      <c r="O690" s="488"/>
      <c r="P690" s="489"/>
      <c r="Q690" s="1266"/>
      <c r="R690" s="1267"/>
      <c r="S690" s="1267"/>
      <c r="T690" s="1268"/>
    </row>
    <row r="691" spans="2:20" ht="19.5" customHeight="1">
      <c r="B691" s="1370"/>
      <c r="C691" s="1370"/>
      <c r="D691" s="1371"/>
      <c r="E691" s="501" t="s">
        <v>156</v>
      </c>
      <c r="F691" s="476"/>
      <c r="G691" s="1229">
        <f>IF(G689=0,0,IF(G690="OVER",0,G689+2))</f>
        <v>0</v>
      </c>
      <c r="H691" s="1230"/>
      <c r="I691" s="480" t="s">
        <v>452</v>
      </c>
      <c r="J691" s="1047"/>
      <c r="K691" s="1051"/>
      <c r="L691" s="1179"/>
      <c r="M691" s="1176"/>
      <c r="N691" s="505"/>
      <c r="O691" s="488"/>
      <c r="P691" s="489"/>
      <c r="Q691" s="1266"/>
      <c r="R691" s="1267"/>
      <c r="S691" s="1267"/>
      <c r="T691" s="1268"/>
    </row>
    <row r="692" spans="2:20" ht="19.5" customHeight="1">
      <c r="B692" s="1370"/>
      <c r="C692" s="1370"/>
      <c r="D692" s="1371"/>
      <c r="E692" s="506" t="s">
        <v>451</v>
      </c>
      <c r="F692" s="507"/>
      <c r="G692" s="1229">
        <f>ROUNDUP(G691/L687,0)</f>
        <v>0</v>
      </c>
      <c r="H692" s="1230"/>
      <c r="I692" s="480" t="s">
        <v>453</v>
      </c>
      <c r="J692" s="1047"/>
      <c r="K692" s="1051"/>
      <c r="L692" s="1179"/>
      <c r="M692" s="1176"/>
      <c r="N692" s="505"/>
      <c r="O692" s="488"/>
      <c r="P692" s="489"/>
      <c r="Q692" s="1266"/>
      <c r="R692" s="1267"/>
      <c r="S692" s="1267"/>
      <c r="T692" s="1268"/>
    </row>
    <row r="693" spans="2:20" ht="19.5" customHeight="1">
      <c r="B693" s="1370"/>
      <c r="C693" s="1370"/>
      <c r="D693" s="1371"/>
      <c r="E693" s="506" t="s">
        <v>419</v>
      </c>
      <c r="F693" s="507"/>
      <c r="G693" s="1229">
        <f>G691-G692*L687</f>
        <v>0</v>
      </c>
      <c r="H693" s="1230"/>
      <c r="I693" s="480" t="s">
        <v>452</v>
      </c>
      <c r="J693" s="1047"/>
      <c r="K693" s="1051"/>
      <c r="L693" s="1179"/>
      <c r="M693" s="1176"/>
      <c r="N693" s="505"/>
      <c r="O693" s="488"/>
      <c r="P693" s="489"/>
      <c r="Q693" s="1266"/>
      <c r="R693" s="1267"/>
      <c r="S693" s="1267"/>
      <c r="T693" s="1268"/>
    </row>
    <row r="694" spans="2:20" ht="19.5" customHeight="1" thickBot="1">
      <c r="B694" s="1370"/>
      <c r="C694" s="1370"/>
      <c r="D694" s="1371"/>
      <c r="E694" s="877" t="s">
        <v>423</v>
      </c>
      <c r="F694" s="508"/>
      <c r="G694" s="1241">
        <f>G692*L687</f>
        <v>0</v>
      </c>
      <c r="H694" s="1242"/>
      <c r="I694" s="495" t="s">
        <v>452</v>
      </c>
      <c r="J694" s="1047"/>
      <c r="K694" s="1051"/>
      <c r="L694" s="1179"/>
      <c r="M694" s="1176"/>
      <c r="N694" s="505"/>
      <c r="O694" s="488"/>
      <c r="P694" s="489"/>
      <c r="Q694" s="1266"/>
      <c r="R694" s="1267"/>
      <c r="S694" s="1267"/>
      <c r="T694" s="1268"/>
    </row>
    <row r="695" spans="2:20" ht="19.5" customHeight="1">
      <c r="B695" s="1370" t="s">
        <v>197</v>
      </c>
      <c r="C695" s="1376" t="s">
        <v>332</v>
      </c>
      <c r="D695" s="1375" t="s">
        <v>267</v>
      </c>
      <c r="E695" s="500" t="s">
        <v>437</v>
      </c>
      <c r="F695" s="492"/>
      <c r="G695" s="1239">
        <f>IF(G651-G650-O643*L643&lt;0,0,G651-G650-O643*L643)</f>
        <v>2489</v>
      </c>
      <c r="H695" s="1240"/>
      <c r="I695" s="492" t="s">
        <v>452</v>
      </c>
      <c r="J695" s="1047"/>
      <c r="K695" s="1051"/>
      <c r="L695" s="1179"/>
      <c r="M695" s="1176"/>
      <c r="N695" s="505"/>
      <c r="O695" s="488"/>
      <c r="P695" s="489"/>
      <c r="Q695" s="1266"/>
      <c r="R695" s="1267"/>
      <c r="S695" s="1267"/>
      <c r="T695" s="1268"/>
    </row>
    <row r="696" spans="2:20" ht="19.5" customHeight="1">
      <c r="B696" s="1370"/>
      <c r="C696" s="1370"/>
      <c r="D696" s="1371"/>
      <c r="E696" s="573" t="s">
        <v>137</v>
      </c>
      <c r="F696" s="480"/>
      <c r="G696" s="1206">
        <f>IF(G695&gt;2,G695-2,0)</f>
        <v>2487</v>
      </c>
      <c r="H696" s="1207"/>
      <c r="I696" s="796" t="s">
        <v>452</v>
      </c>
      <c r="J696" s="1047"/>
      <c r="K696" s="1051"/>
      <c r="L696" s="1179"/>
      <c r="M696" s="1176"/>
      <c r="N696" s="505"/>
      <c r="O696" s="488"/>
      <c r="P696" s="489"/>
      <c r="Q696" s="1266"/>
      <c r="R696" s="1267"/>
      <c r="S696" s="1267"/>
      <c r="T696" s="1268"/>
    </row>
    <row r="697" spans="2:20" ht="19.5" customHeight="1">
      <c r="B697" s="1370"/>
      <c r="C697" s="1370"/>
      <c r="D697" s="1371"/>
      <c r="E697" s="501" t="s">
        <v>152</v>
      </c>
      <c r="F697" s="476"/>
      <c r="G697" s="1229">
        <f>LEN('記入シート'!C367)</f>
        <v>0</v>
      </c>
      <c r="H697" s="1230"/>
      <c r="I697" s="480" t="s">
        <v>452</v>
      </c>
      <c r="J697" s="1047"/>
      <c r="K697" s="1051"/>
      <c r="L697" s="1179"/>
      <c r="M697" s="1176"/>
      <c r="N697" s="505"/>
      <c r="O697" s="488"/>
      <c r="P697" s="489"/>
      <c r="Q697" s="1266"/>
      <c r="R697" s="1267"/>
      <c r="S697" s="1267"/>
      <c r="T697" s="1268"/>
    </row>
    <row r="698" spans="2:20" ht="19.5" customHeight="1" thickBot="1">
      <c r="B698" s="1370"/>
      <c r="C698" s="1377"/>
      <c r="D698" s="1379"/>
      <c r="E698" s="907" t="s">
        <v>167</v>
      </c>
      <c r="F698" s="887"/>
      <c r="G698" s="1243" t="str">
        <f>IF(G697&gt;G696,"OVER","INSIDE")</f>
        <v>INSIDE</v>
      </c>
      <c r="H698" s="1244"/>
      <c r="I698" s="1245"/>
      <c r="J698" s="1048"/>
      <c r="K698" s="1045"/>
      <c r="L698" s="1180"/>
      <c r="M698" s="1177"/>
      <c r="N698" s="509"/>
      <c r="O698" s="496"/>
      <c r="P698" s="497"/>
      <c r="Q698" s="1269"/>
      <c r="R698" s="1270"/>
      <c r="S698" s="1270"/>
      <c r="T698" s="1271"/>
    </row>
    <row r="699" spans="2:20" ht="19.5" customHeight="1">
      <c r="B699" s="1370" t="s">
        <v>197</v>
      </c>
      <c r="C699" s="1376" t="s">
        <v>400</v>
      </c>
      <c r="D699" s="1375" t="s">
        <v>196</v>
      </c>
      <c r="E699" s="511"/>
      <c r="F699" s="878" t="s">
        <v>455</v>
      </c>
      <c r="G699" s="1468">
        <f>LEN(LEFT('記入シート'!C371,L699))</f>
        <v>0</v>
      </c>
      <c r="H699" s="1469"/>
      <c r="I699" s="554" t="s">
        <v>452</v>
      </c>
      <c r="J699" s="1040" t="s">
        <v>352</v>
      </c>
      <c r="K699" s="1050">
        <f ca="1">CELL("row",'記入シート'!C371)</f>
        <v>371</v>
      </c>
      <c r="L699" s="1752">
        <f>$L$40</f>
        <v>6</v>
      </c>
      <c r="M699" s="1630">
        <f>M687</f>
        <v>131</v>
      </c>
      <c r="N699" s="1652" t="s">
        <v>474</v>
      </c>
      <c r="O699" s="1381">
        <f>SUM(G699:H706)</f>
        <v>0</v>
      </c>
      <c r="P699" s="1654" t="s">
        <v>452</v>
      </c>
      <c r="Q699" s="1554">
        <f>IF(O704=0,REPT("　",O714*L699),CONCATENATE(LEFT('記入シート'!C371,L699),REPT("　",G700),LEFT('記入シート'!C372,L699),REPT("　",G702),LEFT('記入シート'!C373,L699),REPT("　",G704),LEFT('記入シート'!C374,L699),REPT("　",G706),REPT("　",L699*O706)))</f>
      </c>
      <c r="R699" s="313"/>
      <c r="S699" s="313"/>
      <c r="T699" s="313"/>
    </row>
    <row r="700" spans="2:20" ht="19.5" customHeight="1">
      <c r="B700" s="1370"/>
      <c r="C700" s="1370"/>
      <c r="D700" s="1371"/>
      <c r="E700" s="511"/>
      <c r="F700" s="510" t="s">
        <v>458</v>
      </c>
      <c r="G700" s="1229">
        <f>IF(G699=0,0,$L$40-G699)</f>
        <v>0</v>
      </c>
      <c r="H700" s="1230"/>
      <c r="I700" s="495" t="s">
        <v>452</v>
      </c>
      <c r="J700" s="1172"/>
      <c r="K700" s="1051"/>
      <c r="L700" s="1179"/>
      <c r="M700" s="1176"/>
      <c r="N700" s="1652"/>
      <c r="O700" s="1381"/>
      <c r="P700" s="1654"/>
      <c r="Q700" s="1554"/>
      <c r="R700" s="313"/>
      <c r="S700" s="313"/>
      <c r="T700" s="313"/>
    </row>
    <row r="701" spans="2:20" ht="19.5" customHeight="1">
      <c r="B701" s="1370"/>
      <c r="C701" s="1370"/>
      <c r="D701" s="1371"/>
      <c r="E701" s="511"/>
      <c r="F701" s="510" t="s">
        <v>456</v>
      </c>
      <c r="G701" s="1229">
        <f>LEN(LEFT('記入シート'!C372,L699))</f>
        <v>0</v>
      </c>
      <c r="H701" s="1230"/>
      <c r="I701" s="495" t="s">
        <v>452</v>
      </c>
      <c r="J701" s="1172" t="s">
        <v>352</v>
      </c>
      <c r="K701" s="1044">
        <f ca="1">CELL("row",'記入シート'!C372)</f>
        <v>372</v>
      </c>
      <c r="L701" s="1179"/>
      <c r="M701" s="1176"/>
      <c r="N701" s="1652"/>
      <c r="O701" s="1381"/>
      <c r="P701" s="1654"/>
      <c r="Q701" s="1554"/>
      <c r="R701" s="313"/>
      <c r="S701" s="313"/>
      <c r="T701" s="313"/>
    </row>
    <row r="702" spans="2:20" ht="19.5" customHeight="1">
      <c r="B702" s="1370"/>
      <c r="C702" s="1370"/>
      <c r="D702" s="1371"/>
      <c r="E702" s="511" t="s">
        <v>401</v>
      </c>
      <c r="F702" s="510" t="s">
        <v>459</v>
      </c>
      <c r="G702" s="1229">
        <f>IF(G701=0,0,$L$40-G701)</f>
        <v>0</v>
      </c>
      <c r="H702" s="1230"/>
      <c r="I702" s="495" t="s">
        <v>452</v>
      </c>
      <c r="J702" s="1172"/>
      <c r="K702" s="1044"/>
      <c r="L702" s="1179"/>
      <c r="M702" s="1176"/>
      <c r="N702" s="1652"/>
      <c r="O702" s="1381"/>
      <c r="P702" s="1654"/>
      <c r="Q702" s="1549"/>
      <c r="R702" s="313"/>
      <c r="S702" s="313"/>
      <c r="T702" s="313"/>
    </row>
    <row r="703" spans="2:20" ht="19.5" customHeight="1">
      <c r="B703" s="1370"/>
      <c r="C703" s="1370"/>
      <c r="D703" s="1371"/>
      <c r="E703" s="511" t="s">
        <v>286</v>
      </c>
      <c r="F703" s="512" t="s">
        <v>475</v>
      </c>
      <c r="G703" s="1229">
        <f>LEN(LEFT('記入シート'!C373,L699))</f>
        <v>0</v>
      </c>
      <c r="H703" s="1230"/>
      <c r="I703" s="495" t="s">
        <v>452</v>
      </c>
      <c r="J703" s="1046" t="s">
        <v>352</v>
      </c>
      <c r="K703" s="1044">
        <f ca="1">CELL("row",'記入シート'!C373)</f>
        <v>373</v>
      </c>
      <c r="L703" s="1179"/>
      <c r="M703" s="1176"/>
      <c r="N703" s="1653"/>
      <c r="O703" s="1382"/>
      <c r="P703" s="1655"/>
      <c r="Q703" s="320"/>
      <c r="R703" s="313"/>
      <c r="S703" s="313"/>
      <c r="T703" s="313"/>
    </row>
    <row r="704" spans="2:20" ht="19.5" customHeight="1">
      <c r="B704" s="1370"/>
      <c r="C704" s="1370"/>
      <c r="D704" s="1371"/>
      <c r="E704" s="511"/>
      <c r="F704" s="512" t="s">
        <v>476</v>
      </c>
      <c r="G704" s="1229">
        <f>IF(G703=0,0,$L$40-G703)</f>
        <v>0</v>
      </c>
      <c r="H704" s="1230"/>
      <c r="I704" s="495" t="s">
        <v>452</v>
      </c>
      <c r="J704" s="1040"/>
      <c r="K704" s="1044"/>
      <c r="L704" s="1179"/>
      <c r="M704" s="1176"/>
      <c r="N704" s="1641" t="s">
        <v>480</v>
      </c>
      <c r="O704" s="1628">
        <f>O699/$L$40</f>
        <v>0</v>
      </c>
      <c r="P704" s="1629" t="s">
        <v>453</v>
      </c>
      <c r="Q704" s="320"/>
      <c r="R704" s="313"/>
      <c r="S704" s="313"/>
      <c r="T704" s="313"/>
    </row>
    <row r="705" spans="2:20" ht="19.5" customHeight="1">
      <c r="B705" s="1370"/>
      <c r="C705" s="1370"/>
      <c r="D705" s="1371"/>
      <c r="E705" s="511"/>
      <c r="F705" s="512" t="s">
        <v>477</v>
      </c>
      <c r="G705" s="1229">
        <f>LEN(LEFT('記入シート'!C374,L699))</f>
        <v>0</v>
      </c>
      <c r="H705" s="1230"/>
      <c r="I705" s="495" t="s">
        <v>452</v>
      </c>
      <c r="J705" s="1046" t="s">
        <v>352</v>
      </c>
      <c r="K705" s="1044">
        <f ca="1">CELL("row",'記入シート'!C374)</f>
        <v>374</v>
      </c>
      <c r="L705" s="1179"/>
      <c r="M705" s="1176"/>
      <c r="N705" s="1388"/>
      <c r="O705" s="1382"/>
      <c r="P705" s="1385"/>
      <c r="Q705" s="995"/>
      <c r="R705" s="313"/>
      <c r="S705" s="313"/>
      <c r="T705" s="313"/>
    </row>
    <row r="706" spans="2:20" ht="19.5" customHeight="1">
      <c r="B706" s="1370"/>
      <c r="C706" s="1370"/>
      <c r="D706" s="1371"/>
      <c r="E706" s="511"/>
      <c r="F706" s="512" t="s">
        <v>478</v>
      </c>
      <c r="G706" s="1229">
        <f>IF(G705=0,0,$L$40-G705)</f>
        <v>0</v>
      </c>
      <c r="H706" s="1230"/>
      <c r="I706" s="480" t="s">
        <v>452</v>
      </c>
      <c r="J706" s="1040"/>
      <c r="K706" s="1044"/>
      <c r="L706" s="1887"/>
      <c r="M706" s="1631"/>
      <c r="N706" s="514" t="s">
        <v>252</v>
      </c>
      <c r="O706" s="777">
        <f>O714-O704</f>
        <v>0</v>
      </c>
      <c r="P706" s="515" t="s">
        <v>453</v>
      </c>
      <c r="Q706" s="995"/>
      <c r="R706" s="313"/>
      <c r="S706" s="313"/>
      <c r="T706" s="313"/>
    </row>
    <row r="707" spans="2:20" ht="19.5" customHeight="1">
      <c r="B707" s="1370"/>
      <c r="C707" s="1370"/>
      <c r="D707" s="1371"/>
      <c r="E707" s="531"/>
      <c r="F707" s="535"/>
      <c r="G707" s="535"/>
      <c r="H707" s="536"/>
      <c r="I707" s="537"/>
      <c r="J707" s="1028"/>
      <c r="K707" s="532"/>
      <c r="L707" s="539"/>
      <c r="M707" s="540"/>
      <c r="N707" s="1647" t="s">
        <v>124</v>
      </c>
      <c r="O707" s="1620" t="str">
        <f>IF(O704&gt;G695/L687,"OVER","INSIDE")</f>
        <v>INSIDE</v>
      </c>
      <c r="P707" s="1621"/>
      <c r="Q707" s="424"/>
      <c r="R707" s="419"/>
      <c r="S707" s="419"/>
      <c r="T707" s="419"/>
    </row>
    <row r="708" spans="2:20" ht="19.5" customHeight="1" thickBot="1">
      <c r="B708" s="1370"/>
      <c r="C708" s="1370"/>
      <c r="D708" s="1371"/>
      <c r="E708" s="557"/>
      <c r="F708" s="558"/>
      <c r="G708" s="558"/>
      <c r="H708" s="559"/>
      <c r="I708" s="560"/>
      <c r="J708" s="1029"/>
      <c r="K708" s="560"/>
      <c r="L708" s="561"/>
      <c r="M708" s="562"/>
      <c r="N708" s="1648"/>
      <c r="O708" s="1622"/>
      <c r="P708" s="1623"/>
      <c r="Q708" s="424"/>
      <c r="R708" s="419"/>
      <c r="S708" s="419"/>
      <c r="T708" s="419"/>
    </row>
    <row r="709" spans="2:20" ht="19.5" customHeight="1">
      <c r="B709" s="1370" t="s">
        <v>197</v>
      </c>
      <c r="C709" s="1370" t="s">
        <v>400</v>
      </c>
      <c r="D709" s="1371" t="s">
        <v>267</v>
      </c>
      <c r="E709" s="525"/>
      <c r="F709" s="526" t="s">
        <v>455</v>
      </c>
      <c r="G709" s="1239">
        <f>LEN(LEFT('記入シート'!C377,L709))</f>
        <v>0</v>
      </c>
      <c r="H709" s="1240"/>
      <c r="I709" s="527" t="s">
        <v>452</v>
      </c>
      <c r="J709" s="1228" t="s">
        <v>352</v>
      </c>
      <c r="K709" s="1050">
        <f ca="1">CELL("row",'記入シート'!C377)</f>
        <v>377</v>
      </c>
      <c r="L709" s="1752">
        <f>$L$49</f>
        <v>6</v>
      </c>
      <c r="M709" s="1650">
        <f>M687</f>
        <v>131</v>
      </c>
      <c r="N709" s="1651" t="s">
        <v>484</v>
      </c>
      <c r="O709" s="1634">
        <f>SUM(G709:H712)</f>
        <v>0</v>
      </c>
      <c r="P709" s="1635" t="s">
        <v>452</v>
      </c>
      <c r="Q709" s="1548">
        <f>IF(O712=0,REPT("　",O714*L709),CONCATENATE(LEFT('記入シート'!C377,L709),REPT("　",G710),LEFT('記入シート'!C378,L709),REPT("　",G712),REPT("　",L709*O717)))</f>
      </c>
      <c r="R709" s="419"/>
      <c r="S709" s="419"/>
      <c r="T709" s="419"/>
    </row>
    <row r="710" spans="2:20" ht="19.5" customHeight="1">
      <c r="B710" s="1370"/>
      <c r="C710" s="1370"/>
      <c r="D710" s="1371"/>
      <c r="E710" s="511" t="s">
        <v>402</v>
      </c>
      <c r="F710" s="508" t="s">
        <v>458</v>
      </c>
      <c r="G710" s="1229">
        <f>IF(G709=0,0,$L$49-G709)</f>
        <v>0</v>
      </c>
      <c r="H710" s="1230"/>
      <c r="I710" s="495" t="s">
        <v>452</v>
      </c>
      <c r="J710" s="1172"/>
      <c r="K710" s="1051"/>
      <c r="L710" s="1179"/>
      <c r="M710" s="1639"/>
      <c r="N710" s="1652"/>
      <c r="O710" s="1381"/>
      <c r="P710" s="1384"/>
      <c r="Q710" s="1549"/>
      <c r="R710" s="419"/>
      <c r="S710" s="419"/>
      <c r="T710" s="419"/>
    </row>
    <row r="711" spans="2:20" ht="19.5" customHeight="1">
      <c r="B711" s="1370"/>
      <c r="C711" s="1370"/>
      <c r="D711" s="1371"/>
      <c r="E711" s="511" t="s">
        <v>286</v>
      </c>
      <c r="F711" s="508" t="s">
        <v>456</v>
      </c>
      <c r="G711" s="1229">
        <f>LEN(LEFT('記入シート'!C378,L709))</f>
        <v>0</v>
      </c>
      <c r="H711" s="1230"/>
      <c r="I711" s="495" t="s">
        <v>452</v>
      </c>
      <c r="J711" s="1046" t="s">
        <v>352</v>
      </c>
      <c r="K711" s="1059">
        <f ca="1">CELL("row",'記入シート'!C378)</f>
        <v>378</v>
      </c>
      <c r="L711" s="1179"/>
      <c r="M711" s="1639"/>
      <c r="N711" s="1653"/>
      <c r="O711" s="1382"/>
      <c r="P711" s="1385"/>
      <c r="Q711" s="424"/>
      <c r="R711" s="419"/>
      <c r="S711" s="419"/>
      <c r="T711" s="419"/>
    </row>
    <row r="712" spans="2:20" ht="19.5" customHeight="1">
      <c r="B712" s="1370"/>
      <c r="C712" s="1370"/>
      <c r="D712" s="1371"/>
      <c r="E712" s="511"/>
      <c r="F712" s="507" t="s">
        <v>459</v>
      </c>
      <c r="G712" s="1229">
        <f>IF(G711=0,0,$L$49-G711)</f>
        <v>0</v>
      </c>
      <c r="H712" s="1230"/>
      <c r="I712" s="480" t="s">
        <v>452</v>
      </c>
      <c r="J712" s="1040"/>
      <c r="K712" s="1060"/>
      <c r="L712" s="1887"/>
      <c r="M712" s="1639"/>
      <c r="N712" s="1641" t="s">
        <v>479</v>
      </c>
      <c r="O712" s="1628">
        <f>O709/$L$49</f>
        <v>0</v>
      </c>
      <c r="P712" s="1629" t="s">
        <v>453</v>
      </c>
      <c r="Q712" s="424"/>
      <c r="R712" s="419"/>
      <c r="S712" s="419"/>
      <c r="T712" s="419"/>
    </row>
    <row r="713" spans="2:20" ht="19.5" customHeight="1">
      <c r="B713" s="1370"/>
      <c r="C713" s="1370"/>
      <c r="D713" s="1371"/>
      <c r="E713" s="531"/>
      <c r="F713" s="528"/>
      <c r="G713" s="528"/>
      <c r="H713" s="529"/>
      <c r="I713" s="532"/>
      <c r="J713" s="1028"/>
      <c r="K713" s="532"/>
      <c r="L713" s="533"/>
      <c r="M713" s="533"/>
      <c r="N713" s="1387"/>
      <c r="O713" s="1381"/>
      <c r="P713" s="1384"/>
      <c r="Q713" s="424"/>
      <c r="R713" s="419"/>
      <c r="S713" s="419"/>
      <c r="T713" s="419"/>
    </row>
    <row r="714" spans="2:20" ht="19.5" customHeight="1">
      <c r="B714" s="1370"/>
      <c r="C714" s="1370"/>
      <c r="D714" s="1371"/>
      <c r="E714" s="531"/>
      <c r="F714" s="535"/>
      <c r="G714" s="535"/>
      <c r="H714" s="536"/>
      <c r="I714" s="537"/>
      <c r="J714" s="1030"/>
      <c r="K714" s="537"/>
      <c r="L714" s="539"/>
      <c r="M714" s="539"/>
      <c r="N714" s="1641" t="s">
        <v>483</v>
      </c>
      <c r="O714" s="1628">
        <f>MAX(G692,O704,O712)</f>
        <v>0</v>
      </c>
      <c r="P714" s="1629" t="s">
        <v>453</v>
      </c>
      <c r="Q714" s="424"/>
      <c r="R714" s="419"/>
      <c r="S714" s="419"/>
      <c r="T714" s="419"/>
    </row>
    <row r="715" spans="2:20" ht="19.5" customHeight="1">
      <c r="B715" s="1370"/>
      <c r="C715" s="1370"/>
      <c r="D715" s="1371"/>
      <c r="E715" s="531"/>
      <c r="F715" s="535"/>
      <c r="G715" s="535"/>
      <c r="H715" s="536"/>
      <c r="I715" s="537"/>
      <c r="J715" s="1030"/>
      <c r="K715" s="537"/>
      <c r="L715" s="539"/>
      <c r="M715" s="539"/>
      <c r="N715" s="1387"/>
      <c r="O715" s="1381"/>
      <c r="P715" s="1384"/>
      <c r="Q715" s="424"/>
      <c r="R715" s="419"/>
      <c r="S715" s="419"/>
      <c r="T715" s="419"/>
    </row>
    <row r="716" spans="2:20" ht="19.5" customHeight="1">
      <c r="B716" s="1370"/>
      <c r="C716" s="1370"/>
      <c r="D716" s="1371"/>
      <c r="E716" s="531"/>
      <c r="F716" s="535"/>
      <c r="G716" s="535"/>
      <c r="H716" s="536"/>
      <c r="I716" s="537"/>
      <c r="J716" s="1030"/>
      <c r="K716" s="537"/>
      <c r="L716" s="539"/>
      <c r="M716" s="539"/>
      <c r="N716" s="1388"/>
      <c r="O716" s="1382"/>
      <c r="P716" s="1385"/>
      <c r="Q716" s="424"/>
      <c r="R716" s="419"/>
      <c r="S716" s="419"/>
      <c r="T716" s="419"/>
    </row>
    <row r="717" spans="2:20" ht="19.5" customHeight="1">
      <c r="B717" s="1370"/>
      <c r="C717" s="1370"/>
      <c r="D717" s="1371"/>
      <c r="E717" s="531"/>
      <c r="F717" s="535"/>
      <c r="G717" s="535"/>
      <c r="H717" s="536"/>
      <c r="I717" s="537"/>
      <c r="J717" s="1030"/>
      <c r="K717" s="537"/>
      <c r="L717" s="539"/>
      <c r="M717" s="539"/>
      <c r="N717" s="514" t="s">
        <v>145</v>
      </c>
      <c r="O717" s="777">
        <f>O714-O712</f>
        <v>0</v>
      </c>
      <c r="P717" s="515" t="s">
        <v>453</v>
      </c>
      <c r="Q717" s="424"/>
      <c r="R717" s="419"/>
      <c r="S717" s="419"/>
      <c r="T717" s="419"/>
    </row>
    <row r="718" spans="2:20" ht="19.5" customHeight="1">
      <c r="B718" s="1370"/>
      <c r="C718" s="1370"/>
      <c r="D718" s="1371"/>
      <c r="E718" s="531"/>
      <c r="F718" s="535"/>
      <c r="G718" s="535"/>
      <c r="H718" s="536"/>
      <c r="I718" s="537"/>
      <c r="J718" s="1030"/>
      <c r="K718" s="537"/>
      <c r="L718" s="539"/>
      <c r="M718" s="539"/>
      <c r="N718" s="1647" t="s">
        <v>125</v>
      </c>
      <c r="O718" s="1620" t="str">
        <f>IF(O712&gt;G695/L687,"OVER","INSIDE")</f>
        <v>INSIDE</v>
      </c>
      <c r="P718" s="1621"/>
      <c r="Q718" s="424"/>
      <c r="R718" s="419"/>
      <c r="S718" s="419"/>
      <c r="T718" s="419"/>
    </row>
    <row r="719" spans="2:20" ht="19.5" customHeight="1" thickBot="1">
      <c r="B719" s="1370"/>
      <c r="C719" s="1370"/>
      <c r="D719" s="1371"/>
      <c r="E719" s="531"/>
      <c r="F719" s="535"/>
      <c r="G719" s="535"/>
      <c r="H719" s="536"/>
      <c r="I719" s="537"/>
      <c r="J719" s="1030"/>
      <c r="K719" s="537"/>
      <c r="L719" s="539"/>
      <c r="M719" s="539"/>
      <c r="N719" s="1648"/>
      <c r="O719" s="1622"/>
      <c r="P719" s="1623"/>
      <c r="Q719" s="424"/>
      <c r="R719" s="419"/>
      <c r="S719" s="419"/>
      <c r="T719" s="419"/>
    </row>
    <row r="720" spans="2:20" ht="19.5" customHeight="1">
      <c r="B720" s="1370" t="s">
        <v>197</v>
      </c>
      <c r="C720" s="1370" t="s">
        <v>400</v>
      </c>
      <c r="D720" s="1371" t="s">
        <v>196</v>
      </c>
      <c r="E720" s="525"/>
      <c r="F720" s="541" t="s">
        <v>1</v>
      </c>
      <c r="G720" s="1239">
        <f>LEN(LEFT('記入シート'!D381,2))</f>
        <v>0</v>
      </c>
      <c r="H720" s="1240"/>
      <c r="I720" s="527" t="s">
        <v>452</v>
      </c>
      <c r="J720" s="1228" t="s">
        <v>353</v>
      </c>
      <c r="K720" s="1043">
        <f ca="1">CELL("row",'記入シート'!D381)</f>
        <v>381</v>
      </c>
      <c r="L720" s="1890">
        <v>2</v>
      </c>
      <c r="M720" s="1650">
        <f>M687</f>
        <v>131</v>
      </c>
      <c r="N720" s="1649" t="s">
        <v>8</v>
      </c>
      <c r="O720" s="1634">
        <f>IF(G720=0,0,1)</f>
        <v>0</v>
      </c>
      <c r="P720" s="1635" t="s">
        <v>453</v>
      </c>
      <c r="Q720" s="503" t="s">
        <v>6</v>
      </c>
      <c r="R720" s="419"/>
      <c r="S720" s="419"/>
      <c r="T720" s="419"/>
    </row>
    <row r="721" spans="2:20" ht="19.5" customHeight="1">
      <c r="B721" s="1370"/>
      <c r="C721" s="1370"/>
      <c r="D721" s="1371"/>
      <c r="E721" s="511"/>
      <c r="F721" s="508" t="s">
        <v>2</v>
      </c>
      <c r="G721" s="1229">
        <f>$L$58-G720</f>
        <v>2</v>
      </c>
      <c r="H721" s="1230"/>
      <c r="I721" s="495" t="s">
        <v>452</v>
      </c>
      <c r="J721" s="1172"/>
      <c r="K721" s="1060"/>
      <c r="L721" s="1637"/>
      <c r="M721" s="1640"/>
      <c r="N721" s="1646"/>
      <c r="O721" s="1382"/>
      <c r="P721" s="1385"/>
      <c r="Q721" s="986">
        <f>IF(G691=0,"",IF(O720=0,REPT("　",5*O722),CONCATENATE(REPT("　",G721),LEFT('記入シート'!D381,L720),"／",REPT("　",G723),LEFT('記入シート'!G381,L722),REPT("　",5*O722))))</f>
      </c>
      <c r="R721" s="419"/>
      <c r="S721" s="419"/>
      <c r="T721" s="419"/>
    </row>
    <row r="722" spans="2:20" ht="19.5" customHeight="1">
      <c r="B722" s="1370"/>
      <c r="C722" s="1370"/>
      <c r="D722" s="1371"/>
      <c r="E722" s="511"/>
      <c r="F722" s="508" t="s">
        <v>3</v>
      </c>
      <c r="G722" s="1229">
        <f>LEN(LEFT('記入シート'!G381,2))</f>
        <v>0</v>
      </c>
      <c r="H722" s="1230"/>
      <c r="I722" s="495" t="s">
        <v>452</v>
      </c>
      <c r="J722" s="1172" t="s">
        <v>354</v>
      </c>
      <c r="K722" s="1059">
        <f ca="1">CELL("row",'記入シート'!G381)</f>
        <v>381</v>
      </c>
      <c r="L722" s="1637">
        <v>2</v>
      </c>
      <c r="M722" s="1639">
        <f>M687</f>
        <v>131</v>
      </c>
      <c r="N722" s="1641" t="s">
        <v>240</v>
      </c>
      <c r="O722" s="1628">
        <f>O714-O720</f>
        <v>0</v>
      </c>
      <c r="P722" s="1629" t="s">
        <v>453</v>
      </c>
      <c r="Q722" s="987"/>
      <c r="R722" s="419"/>
      <c r="S722" s="419"/>
      <c r="T722" s="419"/>
    </row>
    <row r="723" spans="2:20" ht="19.5" customHeight="1">
      <c r="B723" s="1370"/>
      <c r="C723" s="1370"/>
      <c r="D723" s="1371"/>
      <c r="E723" s="511" t="s">
        <v>403</v>
      </c>
      <c r="F723" s="508" t="s">
        <v>461</v>
      </c>
      <c r="G723" s="1229">
        <f>$L$60-G722</f>
        <v>2</v>
      </c>
      <c r="H723" s="1230"/>
      <c r="I723" s="495" t="s">
        <v>452</v>
      </c>
      <c r="J723" s="1172"/>
      <c r="K723" s="1060"/>
      <c r="L723" s="1637"/>
      <c r="M723" s="1639"/>
      <c r="N723" s="1388"/>
      <c r="O723" s="1382"/>
      <c r="P723" s="1385"/>
      <c r="Q723" s="988"/>
      <c r="R723" s="419"/>
      <c r="S723" s="419"/>
      <c r="T723" s="419"/>
    </row>
    <row r="724" spans="2:20" ht="19.5" customHeight="1">
      <c r="B724" s="1370"/>
      <c r="C724" s="1370"/>
      <c r="D724" s="1371"/>
      <c r="E724" s="511" t="s">
        <v>286</v>
      </c>
      <c r="F724" s="508" t="s">
        <v>4</v>
      </c>
      <c r="G724" s="1229">
        <f>LEN(LEFT('記入シート'!N381,2))</f>
        <v>0</v>
      </c>
      <c r="H724" s="1230"/>
      <c r="I724" s="495" t="s">
        <v>452</v>
      </c>
      <c r="J724" s="1172" t="s">
        <v>355</v>
      </c>
      <c r="K724" s="1059">
        <f ca="1">CELL("row",'記入シート'!N381)</f>
        <v>381</v>
      </c>
      <c r="L724" s="1637">
        <v>2</v>
      </c>
      <c r="M724" s="1639">
        <f>M687</f>
        <v>131</v>
      </c>
      <c r="N724" s="1645" t="s">
        <v>178</v>
      </c>
      <c r="O724" s="1628">
        <f>IF(G724=0,0,1)</f>
        <v>0</v>
      </c>
      <c r="P724" s="1629" t="s">
        <v>453</v>
      </c>
      <c r="Q724" s="503" t="s">
        <v>7</v>
      </c>
      <c r="R724" s="419"/>
      <c r="S724" s="419"/>
      <c r="T724" s="419"/>
    </row>
    <row r="725" spans="2:20" ht="19.5" customHeight="1">
      <c r="B725" s="1370"/>
      <c r="C725" s="1370"/>
      <c r="D725" s="1371"/>
      <c r="E725" s="511"/>
      <c r="F725" s="508" t="s">
        <v>5</v>
      </c>
      <c r="G725" s="1229">
        <f>$L$62-G724</f>
        <v>2</v>
      </c>
      <c r="H725" s="1230"/>
      <c r="I725" s="495" t="s">
        <v>452</v>
      </c>
      <c r="J725" s="1172"/>
      <c r="K725" s="1060"/>
      <c r="L725" s="1637"/>
      <c r="M725" s="1639"/>
      <c r="N725" s="1646"/>
      <c r="O725" s="1382"/>
      <c r="P725" s="1385"/>
      <c r="Q725" s="986">
        <f>IF(G691=0,"",IF(O724=0,REPT("　",5*O726),CONCATENATE(REPT("　",G725),LEFT('記入シート'!N381,L724),"／",REPT("　",G727),LEFT('記入シート'!Q381,L726),REPT("　",5*O726))))</f>
      </c>
      <c r="R725" s="419"/>
      <c r="S725" s="419"/>
      <c r="T725" s="419"/>
    </row>
    <row r="726" spans="2:20" ht="19.5" customHeight="1">
      <c r="B726" s="1370"/>
      <c r="C726" s="1370"/>
      <c r="D726" s="1371"/>
      <c r="E726" s="511"/>
      <c r="F726" s="508" t="s">
        <v>462</v>
      </c>
      <c r="G726" s="1229">
        <f>LEN(LEFT('記入シート'!Q381,2))</f>
        <v>0</v>
      </c>
      <c r="H726" s="1230"/>
      <c r="I726" s="495" t="s">
        <v>452</v>
      </c>
      <c r="J726" s="1172" t="s">
        <v>356</v>
      </c>
      <c r="K726" s="1059">
        <f ca="1">CELL("row",'記入シート'!Q381)</f>
        <v>381</v>
      </c>
      <c r="L726" s="1637">
        <v>2</v>
      </c>
      <c r="M726" s="1639">
        <f>M687</f>
        <v>131</v>
      </c>
      <c r="N726" s="1641" t="s">
        <v>180</v>
      </c>
      <c r="O726" s="1628">
        <f>O714-O724</f>
        <v>0</v>
      </c>
      <c r="P726" s="1629" t="s">
        <v>453</v>
      </c>
      <c r="Q726" s="987"/>
      <c r="R726" s="419"/>
      <c r="S726" s="419"/>
      <c r="T726" s="419"/>
    </row>
    <row r="727" spans="2:20" ht="19.5" customHeight="1" thickBot="1">
      <c r="B727" s="1370"/>
      <c r="C727" s="1370"/>
      <c r="D727" s="1371"/>
      <c r="E727" s="566"/>
      <c r="F727" s="508" t="s">
        <v>463</v>
      </c>
      <c r="G727" s="1446">
        <f>$L$64-G726</f>
        <v>2</v>
      </c>
      <c r="H727" s="1447"/>
      <c r="I727" s="495" t="s">
        <v>452</v>
      </c>
      <c r="J727" s="1636"/>
      <c r="K727" s="1049"/>
      <c r="L727" s="1638"/>
      <c r="M727" s="1640"/>
      <c r="N727" s="1642"/>
      <c r="O727" s="1643"/>
      <c r="P727" s="1644"/>
      <c r="Q727" s="989"/>
      <c r="R727" s="419"/>
      <c r="S727" s="419"/>
      <c r="T727" s="419"/>
    </row>
    <row r="728" spans="2:106" s="186" customFormat="1" ht="19.5" customHeight="1">
      <c r="B728" s="1370"/>
      <c r="C728" s="1370"/>
      <c r="D728" s="1371" t="s">
        <v>267</v>
      </c>
      <c r="E728" s="511" t="s">
        <v>404</v>
      </c>
      <c r="F728" s="526" t="s">
        <v>420</v>
      </c>
      <c r="G728" s="1239">
        <f>LEN(LEFT('記入シート'!C384,L728))</f>
        <v>0</v>
      </c>
      <c r="H728" s="1240"/>
      <c r="I728" s="527" t="s">
        <v>452</v>
      </c>
      <c r="J728" s="1233" t="s">
        <v>352</v>
      </c>
      <c r="K728" s="1050">
        <f ca="1">CELL("row",'記入シート'!C384)</f>
        <v>384</v>
      </c>
      <c r="L728" s="1752">
        <f>$L$66</f>
        <v>1</v>
      </c>
      <c r="M728" s="1630">
        <f>M687</f>
        <v>131</v>
      </c>
      <c r="N728" s="1632" t="s">
        <v>10</v>
      </c>
      <c r="O728" s="1634">
        <f>IF(G728=0,0,1)</f>
        <v>0</v>
      </c>
      <c r="P728" s="1635" t="s">
        <v>453</v>
      </c>
      <c r="Q728" s="639">
        <f>IF(G689=0,"",CONCATENATE(LEFT('記入シート'!C384,1),REPT("　",O730)))</f>
      </c>
      <c r="R728" s="419"/>
      <c r="S728" s="419"/>
      <c r="T728" s="419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</row>
    <row r="729" spans="2:106" s="186" customFormat="1" ht="19.5" customHeight="1">
      <c r="B729" s="1370"/>
      <c r="C729" s="1370"/>
      <c r="D729" s="1371"/>
      <c r="E729" s="531" t="s">
        <v>286</v>
      </c>
      <c r="F729" s="512" t="s">
        <v>460</v>
      </c>
      <c r="G729" s="1229">
        <f>$L$66-G728</f>
        <v>1</v>
      </c>
      <c r="H729" s="1230"/>
      <c r="I729" s="495" t="s">
        <v>452</v>
      </c>
      <c r="J729" s="1047"/>
      <c r="K729" s="1051"/>
      <c r="L729" s="1179"/>
      <c r="M729" s="1176"/>
      <c r="N729" s="1633"/>
      <c r="O729" s="1382"/>
      <c r="P729" s="1385"/>
      <c r="Q729" s="464"/>
      <c r="R729" s="419"/>
      <c r="S729" s="419"/>
      <c r="T729" s="41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</row>
    <row r="730" spans="2:106" s="186" customFormat="1" ht="19.5" customHeight="1" thickBot="1">
      <c r="B730" s="1373"/>
      <c r="C730" s="1373"/>
      <c r="D730" s="1372"/>
      <c r="E730" s="567"/>
      <c r="F730" s="545" t="s">
        <v>158</v>
      </c>
      <c r="G730" s="781" t="s">
        <v>159</v>
      </c>
      <c r="H730" s="452">
        <f>WIDECHAR('記入シート'!C384)</f>
      </c>
      <c r="I730" s="782" t="s">
        <v>160</v>
      </c>
      <c r="J730" s="1899"/>
      <c r="K730" s="1052"/>
      <c r="L730" s="1887"/>
      <c r="M730" s="1631"/>
      <c r="N730" s="778" t="s">
        <v>148</v>
      </c>
      <c r="O730" s="777">
        <f>O714-O728</f>
        <v>0</v>
      </c>
      <c r="P730" s="515" t="s">
        <v>453</v>
      </c>
      <c r="Q730" s="465"/>
      <c r="R730" s="419"/>
      <c r="S730" s="419"/>
      <c r="T730" s="419"/>
      <c r="U730" s="205"/>
      <c r="V730" s="205"/>
      <c r="W730" s="205"/>
      <c r="X730" s="205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5"/>
      <c r="AI730" s="205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05"/>
      <c r="AT730" s="205"/>
      <c r="AU730" s="205"/>
      <c r="AV730" s="205"/>
      <c r="AW730" s="205"/>
      <c r="AX730" s="205"/>
      <c r="AY730" s="205"/>
      <c r="AZ730" s="205"/>
      <c r="BA730" s="205"/>
      <c r="BB730" s="205"/>
      <c r="BC730" s="205"/>
      <c r="BD730" s="205"/>
      <c r="BE730" s="205"/>
      <c r="BF730" s="205"/>
      <c r="BG730" s="205"/>
      <c r="BH730" s="205"/>
      <c r="BI730" s="205"/>
      <c r="BJ730" s="205"/>
      <c r="BK730" s="205"/>
      <c r="BL730" s="205"/>
      <c r="BM730" s="205"/>
      <c r="BN730" s="205"/>
      <c r="BO730" s="205"/>
      <c r="BP730" s="205"/>
      <c r="BQ730" s="205"/>
      <c r="BR730" s="205"/>
      <c r="BS730" s="205"/>
      <c r="BT730" s="205"/>
      <c r="BU730" s="205"/>
      <c r="BV730" s="205"/>
      <c r="BW730" s="205"/>
      <c r="BX730" s="205"/>
      <c r="BY730" s="205"/>
      <c r="BZ730" s="205"/>
      <c r="CA730" s="205"/>
      <c r="CB730" s="205"/>
      <c r="CC730" s="205"/>
      <c r="CD730" s="205"/>
      <c r="CE730" s="205"/>
      <c r="CF730" s="205"/>
      <c r="CG730" s="205"/>
      <c r="CH730" s="205"/>
      <c r="CI730" s="205"/>
      <c r="CJ730" s="205"/>
      <c r="CK730" s="205"/>
      <c r="CL730" s="205"/>
      <c r="CM730" s="205"/>
      <c r="CN730" s="205"/>
      <c r="CO730" s="205"/>
      <c r="CP730" s="205"/>
      <c r="CQ730" s="205"/>
      <c r="CR730" s="205"/>
      <c r="CS730" s="205"/>
      <c r="CT730" s="205"/>
      <c r="CU730" s="205"/>
      <c r="CV730" s="205"/>
      <c r="CW730" s="205"/>
      <c r="CX730" s="205"/>
      <c r="CY730" s="205"/>
      <c r="CZ730" s="205"/>
      <c r="DA730" s="205"/>
      <c r="DB730" s="205"/>
    </row>
    <row r="731" spans="2:20" ht="19.5" customHeight="1" thickTop="1">
      <c r="B731" s="1374" t="s">
        <v>287</v>
      </c>
      <c r="C731" s="1374" t="s">
        <v>400</v>
      </c>
      <c r="D731" s="1378" t="s">
        <v>276</v>
      </c>
      <c r="E731" s="909" t="s">
        <v>437</v>
      </c>
      <c r="F731" s="891"/>
      <c r="G731" s="1947">
        <f>IF(G687-G694-O687*L687&lt;0,0,G687-G694-O687*L687)</f>
        <v>2489</v>
      </c>
      <c r="H731" s="1948"/>
      <c r="I731" s="891" t="s">
        <v>452</v>
      </c>
      <c r="J731" s="1233" t="s">
        <v>351</v>
      </c>
      <c r="K731" s="1050">
        <f ca="1">CELL("row",'記入シート'!C389)</f>
        <v>389</v>
      </c>
      <c r="L731" s="1234">
        <f>$L$32</f>
        <v>19</v>
      </c>
      <c r="M731" s="1235">
        <f>G739/L731</f>
        <v>131</v>
      </c>
      <c r="N731" s="1386" t="s">
        <v>144</v>
      </c>
      <c r="O731" s="1380">
        <f>O758-G736</f>
        <v>0</v>
      </c>
      <c r="P731" s="1383" t="s">
        <v>453</v>
      </c>
      <c r="Q731" s="1263">
        <f>IF(G735=0,REPT("　",O731*L731),CONCATENATE("⑤　",'記入シート'!C389,REPT("　",O731*L731+ABS(G737))))</f>
      </c>
      <c r="R731" s="1264"/>
      <c r="S731" s="1264"/>
      <c r="T731" s="1265"/>
    </row>
    <row r="732" spans="2:20" ht="19.5" customHeight="1">
      <c r="B732" s="1370"/>
      <c r="C732" s="1370"/>
      <c r="D732" s="1371"/>
      <c r="E732" s="909" t="s">
        <v>273</v>
      </c>
      <c r="F732" s="891"/>
      <c r="G732" s="1475">
        <f>IF(G731&gt;2,G731-2,0)</f>
        <v>2487</v>
      </c>
      <c r="H732" s="1476"/>
      <c r="I732" s="891" t="s">
        <v>452</v>
      </c>
      <c r="J732" s="1047"/>
      <c r="K732" s="1051"/>
      <c r="L732" s="1179"/>
      <c r="M732" s="1176"/>
      <c r="N732" s="1387"/>
      <c r="O732" s="1381"/>
      <c r="P732" s="1384"/>
      <c r="Q732" s="1266"/>
      <c r="R732" s="1267"/>
      <c r="S732" s="1267"/>
      <c r="T732" s="1268"/>
    </row>
    <row r="733" spans="2:20" ht="19.5" customHeight="1">
      <c r="B733" s="1370"/>
      <c r="C733" s="1370"/>
      <c r="D733" s="1371"/>
      <c r="E733" s="909" t="s">
        <v>274</v>
      </c>
      <c r="F733" s="891"/>
      <c r="G733" s="1475">
        <f>LEN('記入シート'!C389)</f>
        <v>0</v>
      </c>
      <c r="H733" s="1476"/>
      <c r="I733" s="893" t="s">
        <v>452</v>
      </c>
      <c r="J733" s="1047"/>
      <c r="K733" s="1051"/>
      <c r="L733" s="1179"/>
      <c r="M733" s="1176"/>
      <c r="N733" s="1388"/>
      <c r="O733" s="1382"/>
      <c r="P733" s="1385"/>
      <c r="Q733" s="1266"/>
      <c r="R733" s="1267"/>
      <c r="S733" s="1267"/>
      <c r="T733" s="1268"/>
    </row>
    <row r="734" spans="2:20" ht="19.5" customHeight="1">
      <c r="B734" s="1370"/>
      <c r="C734" s="1370"/>
      <c r="D734" s="1371"/>
      <c r="E734" s="909" t="s">
        <v>167</v>
      </c>
      <c r="F734" s="891"/>
      <c r="G734" s="1470" t="str">
        <f>IF(G733&gt;G732,"OVER","INSIDE")</f>
        <v>INSIDE</v>
      </c>
      <c r="H734" s="1471"/>
      <c r="I734" s="1472"/>
      <c r="J734" s="1047"/>
      <c r="K734" s="1051"/>
      <c r="L734" s="1179"/>
      <c r="M734" s="1176"/>
      <c r="N734" s="505"/>
      <c r="O734" s="488"/>
      <c r="P734" s="489"/>
      <c r="Q734" s="1266"/>
      <c r="R734" s="1267"/>
      <c r="S734" s="1267"/>
      <c r="T734" s="1268"/>
    </row>
    <row r="735" spans="2:20" ht="19.5" customHeight="1">
      <c r="B735" s="1370"/>
      <c r="C735" s="1370"/>
      <c r="D735" s="1371"/>
      <c r="E735" s="501" t="s">
        <v>275</v>
      </c>
      <c r="F735" s="476"/>
      <c r="G735" s="1229">
        <f>IF(G733=0,0,IF(G734="OVER",0,G733+2))</f>
        <v>0</v>
      </c>
      <c r="H735" s="1230"/>
      <c r="I735" s="480" t="s">
        <v>452</v>
      </c>
      <c r="J735" s="1047"/>
      <c r="K735" s="1051"/>
      <c r="L735" s="1179"/>
      <c r="M735" s="1176"/>
      <c r="N735" s="505"/>
      <c r="O735" s="488"/>
      <c r="P735" s="489"/>
      <c r="Q735" s="1266"/>
      <c r="R735" s="1267"/>
      <c r="S735" s="1267"/>
      <c r="T735" s="1268"/>
    </row>
    <row r="736" spans="2:20" ht="19.5" customHeight="1">
      <c r="B736" s="1370"/>
      <c r="C736" s="1370"/>
      <c r="D736" s="1371"/>
      <c r="E736" s="506" t="s">
        <v>451</v>
      </c>
      <c r="F736" s="507"/>
      <c r="G736" s="1229">
        <f>ROUNDUP(G735/L731,0)</f>
        <v>0</v>
      </c>
      <c r="H736" s="1230"/>
      <c r="I736" s="480" t="s">
        <v>453</v>
      </c>
      <c r="J736" s="1047"/>
      <c r="K736" s="1051"/>
      <c r="L736" s="1179"/>
      <c r="M736" s="1176"/>
      <c r="N736" s="505"/>
      <c r="O736" s="488"/>
      <c r="P736" s="489"/>
      <c r="Q736" s="1266"/>
      <c r="R736" s="1267"/>
      <c r="S736" s="1267"/>
      <c r="T736" s="1268"/>
    </row>
    <row r="737" spans="2:20" ht="19.5" customHeight="1">
      <c r="B737" s="1370"/>
      <c r="C737" s="1370"/>
      <c r="D737" s="1371"/>
      <c r="E737" s="506" t="s">
        <v>419</v>
      </c>
      <c r="F737" s="507"/>
      <c r="G737" s="1229">
        <f>G735-G736*L731</f>
        <v>0</v>
      </c>
      <c r="H737" s="1230"/>
      <c r="I737" s="480" t="s">
        <v>452</v>
      </c>
      <c r="J737" s="1047"/>
      <c r="K737" s="1051"/>
      <c r="L737" s="1179"/>
      <c r="M737" s="1176"/>
      <c r="N737" s="505"/>
      <c r="O737" s="488"/>
      <c r="P737" s="489"/>
      <c r="Q737" s="1266"/>
      <c r="R737" s="1267"/>
      <c r="S737" s="1267"/>
      <c r="T737" s="1268"/>
    </row>
    <row r="738" spans="2:20" ht="19.5" customHeight="1" thickBot="1">
      <c r="B738" s="1370"/>
      <c r="C738" s="1377"/>
      <c r="D738" s="1379"/>
      <c r="E738" s="877" t="s">
        <v>423</v>
      </c>
      <c r="F738" s="508"/>
      <c r="G738" s="1241">
        <f>G736*L731</f>
        <v>0</v>
      </c>
      <c r="H738" s="1242"/>
      <c r="I738" s="495" t="s">
        <v>452</v>
      </c>
      <c r="J738" s="1047"/>
      <c r="K738" s="1051"/>
      <c r="L738" s="1179"/>
      <c r="M738" s="1176"/>
      <c r="N738" s="505"/>
      <c r="O738" s="488"/>
      <c r="P738" s="489"/>
      <c r="Q738" s="1266"/>
      <c r="R738" s="1267"/>
      <c r="S738" s="1267"/>
      <c r="T738" s="1268"/>
    </row>
    <row r="739" spans="2:20" ht="19.5" customHeight="1">
      <c r="B739" s="1370" t="s">
        <v>198</v>
      </c>
      <c r="C739" s="1376" t="s">
        <v>332</v>
      </c>
      <c r="D739" s="1375" t="s">
        <v>276</v>
      </c>
      <c r="E739" s="500" t="s">
        <v>437</v>
      </c>
      <c r="F739" s="492"/>
      <c r="G739" s="1239">
        <f>IF(G695-G694-O687*L687&lt;0,0,G695-G694-O687*L687)</f>
        <v>2489</v>
      </c>
      <c r="H739" s="1240"/>
      <c r="I739" s="492" t="s">
        <v>452</v>
      </c>
      <c r="J739" s="1047"/>
      <c r="K739" s="1051"/>
      <c r="L739" s="1179"/>
      <c r="M739" s="1176"/>
      <c r="N739" s="505"/>
      <c r="O739" s="488"/>
      <c r="P739" s="489"/>
      <c r="Q739" s="1266"/>
      <c r="R739" s="1267"/>
      <c r="S739" s="1267"/>
      <c r="T739" s="1268"/>
    </row>
    <row r="740" spans="2:20" ht="19.5" customHeight="1">
      <c r="B740" s="1370"/>
      <c r="C740" s="1370"/>
      <c r="D740" s="1371"/>
      <c r="E740" s="573" t="s">
        <v>273</v>
      </c>
      <c r="F740" s="480"/>
      <c r="G740" s="1206">
        <f>IF(G739&gt;2,G739-2,0)</f>
        <v>2487</v>
      </c>
      <c r="H740" s="1207"/>
      <c r="I740" s="796" t="s">
        <v>452</v>
      </c>
      <c r="J740" s="1047"/>
      <c r="K740" s="1051"/>
      <c r="L740" s="1179"/>
      <c r="M740" s="1176"/>
      <c r="N740" s="505"/>
      <c r="O740" s="488"/>
      <c r="P740" s="489"/>
      <c r="Q740" s="1266"/>
      <c r="R740" s="1267"/>
      <c r="S740" s="1267"/>
      <c r="T740" s="1268"/>
    </row>
    <row r="741" spans="2:20" ht="19.5" customHeight="1">
      <c r="B741" s="1370"/>
      <c r="C741" s="1370"/>
      <c r="D741" s="1371"/>
      <c r="E741" s="501" t="s">
        <v>274</v>
      </c>
      <c r="F741" s="476"/>
      <c r="G741" s="1229">
        <f>LEN('記入シート'!C389)</f>
        <v>0</v>
      </c>
      <c r="H741" s="1230"/>
      <c r="I741" s="480" t="s">
        <v>452</v>
      </c>
      <c r="J741" s="1047"/>
      <c r="K741" s="1051"/>
      <c r="L741" s="1179"/>
      <c r="M741" s="1176"/>
      <c r="N741" s="505"/>
      <c r="O741" s="488"/>
      <c r="P741" s="489"/>
      <c r="Q741" s="1266"/>
      <c r="R741" s="1267"/>
      <c r="S741" s="1267"/>
      <c r="T741" s="1268"/>
    </row>
    <row r="742" spans="2:20" ht="19.5" customHeight="1" thickBot="1">
      <c r="B742" s="1370"/>
      <c r="C742" s="1377"/>
      <c r="D742" s="1379"/>
      <c r="E742" s="907" t="s">
        <v>167</v>
      </c>
      <c r="F742" s="887"/>
      <c r="G742" s="1243" t="str">
        <f>IF(G741&gt;G740,"OVER","INSIDE")</f>
        <v>INSIDE</v>
      </c>
      <c r="H742" s="1244"/>
      <c r="I742" s="1245"/>
      <c r="J742" s="1048"/>
      <c r="K742" s="1045"/>
      <c r="L742" s="1180"/>
      <c r="M742" s="1177"/>
      <c r="N742" s="509"/>
      <c r="O742" s="496"/>
      <c r="P742" s="497"/>
      <c r="Q742" s="1269"/>
      <c r="R742" s="1270"/>
      <c r="S742" s="1270"/>
      <c r="T742" s="1271"/>
    </row>
    <row r="743" spans="2:20" ht="19.5" customHeight="1">
      <c r="B743" s="1370" t="s">
        <v>198</v>
      </c>
      <c r="C743" s="1376" t="s">
        <v>400</v>
      </c>
      <c r="D743" s="1375" t="s">
        <v>276</v>
      </c>
      <c r="E743" s="511"/>
      <c r="F743" s="878" t="s">
        <v>455</v>
      </c>
      <c r="G743" s="1468">
        <f>LEN(LEFT('記入シート'!C393,L743))</f>
        <v>0</v>
      </c>
      <c r="H743" s="1469"/>
      <c r="I743" s="554" t="s">
        <v>452</v>
      </c>
      <c r="J743" s="1040" t="s">
        <v>352</v>
      </c>
      <c r="K743" s="1050">
        <f ca="1">CELL("row",'記入シート'!C393)</f>
        <v>393</v>
      </c>
      <c r="L743" s="1752">
        <f>$L$40</f>
        <v>6</v>
      </c>
      <c r="M743" s="1630">
        <f>M731</f>
        <v>131</v>
      </c>
      <c r="N743" s="1652" t="s">
        <v>474</v>
      </c>
      <c r="O743" s="1381">
        <f>SUM(G743:H750)</f>
        <v>0</v>
      </c>
      <c r="P743" s="1654" t="s">
        <v>452</v>
      </c>
      <c r="Q743" s="1554">
        <f>IF(O748=0,REPT("　",O758*L743),CONCATENATE(LEFT('記入シート'!C393,L743),REPT("　",G744),LEFT('記入シート'!C394,L743),REPT("　",G746),LEFT('記入シート'!C395,L743),REPT("　",G748),LEFT('記入シート'!C396,L743),REPT("　",G750),REPT("　",L743*O750)))</f>
      </c>
      <c r="R743" s="313"/>
      <c r="S743" s="313"/>
      <c r="T743" s="313"/>
    </row>
    <row r="744" spans="2:20" ht="19.5" customHeight="1">
      <c r="B744" s="1370"/>
      <c r="C744" s="1370"/>
      <c r="D744" s="1371"/>
      <c r="E744" s="511"/>
      <c r="F744" s="510" t="s">
        <v>458</v>
      </c>
      <c r="G744" s="1229">
        <f>IF(G743=0,0,$L$40-G743)</f>
        <v>0</v>
      </c>
      <c r="H744" s="1230"/>
      <c r="I744" s="495" t="s">
        <v>452</v>
      </c>
      <c r="J744" s="1172"/>
      <c r="K744" s="1051"/>
      <c r="L744" s="1179"/>
      <c r="M744" s="1176"/>
      <c r="N744" s="1652"/>
      <c r="O744" s="1381"/>
      <c r="P744" s="1654"/>
      <c r="Q744" s="1554"/>
      <c r="R744" s="313"/>
      <c r="S744" s="313"/>
      <c r="T744" s="313"/>
    </row>
    <row r="745" spans="2:20" ht="19.5" customHeight="1">
      <c r="B745" s="1370"/>
      <c r="C745" s="1370"/>
      <c r="D745" s="1371"/>
      <c r="E745" s="511"/>
      <c r="F745" s="510" t="s">
        <v>456</v>
      </c>
      <c r="G745" s="1229">
        <f>LEN(LEFT('記入シート'!C394,L743))</f>
        <v>0</v>
      </c>
      <c r="H745" s="1230"/>
      <c r="I745" s="495" t="s">
        <v>452</v>
      </c>
      <c r="J745" s="1172" t="s">
        <v>352</v>
      </c>
      <c r="K745" s="1044">
        <f ca="1">CELL("row",'記入シート'!C394)</f>
        <v>394</v>
      </c>
      <c r="L745" s="1179"/>
      <c r="M745" s="1176"/>
      <c r="N745" s="1652"/>
      <c r="O745" s="1381"/>
      <c r="P745" s="1654"/>
      <c r="Q745" s="1554"/>
      <c r="R745" s="313"/>
      <c r="S745" s="313"/>
      <c r="T745" s="313"/>
    </row>
    <row r="746" spans="2:20" ht="19.5" customHeight="1">
      <c r="B746" s="1370"/>
      <c r="C746" s="1370"/>
      <c r="D746" s="1371"/>
      <c r="E746" s="511" t="s">
        <v>401</v>
      </c>
      <c r="F746" s="510" t="s">
        <v>459</v>
      </c>
      <c r="G746" s="1229">
        <f>IF(G745=0,0,$L$40-G745)</f>
        <v>0</v>
      </c>
      <c r="H746" s="1230"/>
      <c r="I746" s="495" t="s">
        <v>452</v>
      </c>
      <c r="J746" s="1172"/>
      <c r="K746" s="1044"/>
      <c r="L746" s="1179"/>
      <c r="M746" s="1176"/>
      <c r="N746" s="1652"/>
      <c r="O746" s="1381"/>
      <c r="P746" s="1654"/>
      <c r="Q746" s="1549"/>
      <c r="R746" s="313"/>
      <c r="S746" s="313"/>
      <c r="T746" s="313"/>
    </row>
    <row r="747" spans="2:20" ht="19.5" customHeight="1">
      <c r="B747" s="1370"/>
      <c r="C747" s="1370"/>
      <c r="D747" s="1371"/>
      <c r="E747" s="511" t="s">
        <v>288</v>
      </c>
      <c r="F747" s="512" t="s">
        <v>475</v>
      </c>
      <c r="G747" s="1229">
        <f>LEN(LEFT('記入シート'!C395,L743))</f>
        <v>0</v>
      </c>
      <c r="H747" s="1230"/>
      <c r="I747" s="495" t="s">
        <v>452</v>
      </c>
      <c r="J747" s="1046" t="s">
        <v>352</v>
      </c>
      <c r="K747" s="1044">
        <f ca="1">CELL("row",'記入シート'!C395)</f>
        <v>395</v>
      </c>
      <c r="L747" s="1179"/>
      <c r="M747" s="1176"/>
      <c r="N747" s="1653"/>
      <c r="O747" s="1382"/>
      <c r="P747" s="1655"/>
      <c r="Q747" s="320"/>
      <c r="R747" s="313"/>
      <c r="S747" s="313"/>
      <c r="T747" s="313"/>
    </row>
    <row r="748" spans="2:20" ht="19.5" customHeight="1">
      <c r="B748" s="1370"/>
      <c r="C748" s="1370"/>
      <c r="D748" s="1371"/>
      <c r="E748" s="511"/>
      <c r="F748" s="512" t="s">
        <v>476</v>
      </c>
      <c r="G748" s="1229">
        <f>IF(G747=0,0,$L$40-G747)</f>
        <v>0</v>
      </c>
      <c r="H748" s="1230"/>
      <c r="I748" s="495" t="s">
        <v>452</v>
      </c>
      <c r="J748" s="1040"/>
      <c r="K748" s="1044"/>
      <c r="L748" s="1179"/>
      <c r="M748" s="1176"/>
      <c r="N748" s="1641" t="s">
        <v>480</v>
      </c>
      <c r="O748" s="1628">
        <f>O743/$L$40</f>
        <v>0</v>
      </c>
      <c r="P748" s="1629" t="s">
        <v>453</v>
      </c>
      <c r="Q748" s="320"/>
      <c r="R748" s="313"/>
      <c r="S748" s="313"/>
      <c r="T748" s="313"/>
    </row>
    <row r="749" spans="2:20" ht="19.5" customHeight="1">
      <c r="B749" s="1370"/>
      <c r="C749" s="1370"/>
      <c r="D749" s="1371"/>
      <c r="E749" s="511"/>
      <c r="F749" s="512" t="s">
        <v>477</v>
      </c>
      <c r="G749" s="1229">
        <f>LEN(LEFT('記入シート'!C396,L743))</f>
        <v>0</v>
      </c>
      <c r="H749" s="1230"/>
      <c r="I749" s="495" t="s">
        <v>452</v>
      </c>
      <c r="J749" s="1046" t="s">
        <v>352</v>
      </c>
      <c r="K749" s="1044">
        <f ca="1">CELL("row",'記入シート'!C396)</f>
        <v>396</v>
      </c>
      <c r="L749" s="1179"/>
      <c r="M749" s="1176"/>
      <c r="N749" s="1388"/>
      <c r="O749" s="1382"/>
      <c r="P749" s="1385"/>
      <c r="Q749" s="995"/>
      <c r="R749" s="313"/>
      <c r="S749" s="313"/>
      <c r="T749" s="313"/>
    </row>
    <row r="750" spans="2:20" ht="19.5" customHeight="1">
      <c r="B750" s="1370"/>
      <c r="C750" s="1370"/>
      <c r="D750" s="1371"/>
      <c r="E750" s="511"/>
      <c r="F750" s="512" t="s">
        <v>478</v>
      </c>
      <c r="G750" s="1229">
        <f>IF(G749=0,0,$L$40-G749)</f>
        <v>0</v>
      </c>
      <c r="H750" s="1230"/>
      <c r="I750" s="480" t="s">
        <v>452</v>
      </c>
      <c r="J750" s="1040"/>
      <c r="K750" s="1044"/>
      <c r="L750" s="1887"/>
      <c r="M750" s="1631"/>
      <c r="N750" s="514" t="s">
        <v>252</v>
      </c>
      <c r="O750" s="777">
        <f>O758-O748</f>
        <v>0</v>
      </c>
      <c r="P750" s="515" t="s">
        <v>453</v>
      </c>
      <c r="Q750" s="995"/>
      <c r="R750" s="313"/>
      <c r="S750" s="313"/>
      <c r="T750" s="313"/>
    </row>
    <row r="751" spans="2:20" ht="19.5" customHeight="1">
      <c r="B751" s="1370"/>
      <c r="C751" s="1370"/>
      <c r="D751" s="1371"/>
      <c r="E751" s="531"/>
      <c r="F751" s="535"/>
      <c r="G751" s="535"/>
      <c r="H751" s="536"/>
      <c r="I751" s="537"/>
      <c r="J751" s="1028"/>
      <c r="K751" s="532"/>
      <c r="L751" s="539"/>
      <c r="M751" s="540"/>
      <c r="N751" s="1647" t="s">
        <v>124</v>
      </c>
      <c r="O751" s="1620" t="str">
        <f>IF(O748&gt;G739/L731,"OVER","INSIDE")</f>
        <v>INSIDE</v>
      </c>
      <c r="P751" s="1621"/>
      <c r="Q751" s="424"/>
      <c r="R751" s="419"/>
      <c r="S751" s="419"/>
      <c r="T751" s="419"/>
    </row>
    <row r="752" spans="2:20" ht="19.5" customHeight="1" thickBot="1">
      <c r="B752" s="1370"/>
      <c r="C752" s="1370"/>
      <c r="D752" s="1371"/>
      <c r="E752" s="557"/>
      <c r="F752" s="558"/>
      <c r="G752" s="558"/>
      <c r="H752" s="559"/>
      <c r="I752" s="560"/>
      <c r="J752" s="1029"/>
      <c r="K752" s="560"/>
      <c r="L752" s="561"/>
      <c r="M752" s="562"/>
      <c r="N752" s="1648"/>
      <c r="O752" s="1622"/>
      <c r="P752" s="1623"/>
      <c r="Q752" s="424"/>
      <c r="R752" s="419"/>
      <c r="S752" s="419"/>
      <c r="T752" s="419"/>
    </row>
    <row r="753" spans="2:20" ht="19.5" customHeight="1">
      <c r="B753" s="1370" t="s">
        <v>198</v>
      </c>
      <c r="C753" s="1370" t="s">
        <v>400</v>
      </c>
      <c r="D753" s="1371" t="s">
        <v>276</v>
      </c>
      <c r="E753" s="525"/>
      <c r="F753" s="526" t="s">
        <v>455</v>
      </c>
      <c r="G753" s="1239">
        <f>LEN(LEFT('記入シート'!C399,L753))</f>
        <v>0</v>
      </c>
      <c r="H753" s="1240"/>
      <c r="I753" s="527" t="s">
        <v>452</v>
      </c>
      <c r="J753" s="1228" t="s">
        <v>352</v>
      </c>
      <c r="K753" s="1050">
        <f ca="1">CELL("row",'記入シート'!C399)</f>
        <v>399</v>
      </c>
      <c r="L753" s="1752">
        <f>$L$49</f>
        <v>6</v>
      </c>
      <c r="M753" s="1650">
        <f>M731</f>
        <v>131</v>
      </c>
      <c r="N753" s="1651" t="s">
        <v>484</v>
      </c>
      <c r="O753" s="1634">
        <f>SUM(G753:H756)</f>
        <v>0</v>
      </c>
      <c r="P753" s="1635" t="s">
        <v>452</v>
      </c>
      <c r="Q753" s="1548">
        <f>IF(O756=0,REPT("　",O758*L753),CONCATENATE(LEFT('記入シート'!C399,L753),REPT("　",G754),LEFT('記入シート'!C400,L753),REPT("　",G756),REPT("　",L753*O761)))</f>
      </c>
      <c r="R753" s="419"/>
      <c r="S753" s="419"/>
      <c r="T753" s="419"/>
    </row>
    <row r="754" spans="2:20" ht="19.5" customHeight="1">
      <c r="B754" s="1370"/>
      <c r="C754" s="1370"/>
      <c r="D754" s="1371"/>
      <c r="E754" s="511" t="s">
        <v>402</v>
      </c>
      <c r="F754" s="508" t="s">
        <v>458</v>
      </c>
      <c r="G754" s="1229">
        <f>IF(G753=0,0,$L$49-G753)</f>
        <v>0</v>
      </c>
      <c r="H754" s="1230"/>
      <c r="I754" s="495" t="s">
        <v>452</v>
      </c>
      <c r="J754" s="1172"/>
      <c r="K754" s="1051"/>
      <c r="L754" s="1179"/>
      <c r="M754" s="1639"/>
      <c r="N754" s="1652"/>
      <c r="O754" s="1381"/>
      <c r="P754" s="1384"/>
      <c r="Q754" s="1549"/>
      <c r="R754" s="419"/>
      <c r="S754" s="419"/>
      <c r="T754" s="419"/>
    </row>
    <row r="755" spans="2:20" ht="19.5" customHeight="1">
      <c r="B755" s="1370"/>
      <c r="C755" s="1370"/>
      <c r="D755" s="1371"/>
      <c r="E755" s="511" t="s">
        <v>288</v>
      </c>
      <c r="F755" s="508" t="s">
        <v>456</v>
      </c>
      <c r="G755" s="1229">
        <f>LEN(LEFT('記入シート'!C400,L753))</f>
        <v>0</v>
      </c>
      <c r="H755" s="1230"/>
      <c r="I755" s="495" t="s">
        <v>452</v>
      </c>
      <c r="J755" s="1046" t="s">
        <v>352</v>
      </c>
      <c r="K755" s="1059">
        <f ca="1">CELL("row",'記入シート'!C400)</f>
        <v>400</v>
      </c>
      <c r="L755" s="1179"/>
      <c r="M755" s="1639"/>
      <c r="N755" s="1653"/>
      <c r="O755" s="1382"/>
      <c r="P755" s="1385"/>
      <c r="Q755" s="424"/>
      <c r="R755" s="419"/>
      <c r="S755" s="419"/>
      <c r="T755" s="419"/>
    </row>
    <row r="756" spans="2:20" ht="19.5" customHeight="1">
      <c r="B756" s="1370"/>
      <c r="C756" s="1370"/>
      <c r="D756" s="1371"/>
      <c r="E756" s="511"/>
      <c r="F756" s="507" t="s">
        <v>459</v>
      </c>
      <c r="G756" s="1229">
        <f>IF(G755=0,0,$L$49-G755)</f>
        <v>0</v>
      </c>
      <c r="H756" s="1230"/>
      <c r="I756" s="480" t="s">
        <v>452</v>
      </c>
      <c r="J756" s="1040"/>
      <c r="K756" s="1060"/>
      <c r="L756" s="1887"/>
      <c r="M756" s="1639"/>
      <c r="N756" s="1641" t="s">
        <v>479</v>
      </c>
      <c r="O756" s="1628">
        <f>O753/$L$49</f>
        <v>0</v>
      </c>
      <c r="P756" s="1629" t="s">
        <v>453</v>
      </c>
      <c r="Q756" s="424"/>
      <c r="R756" s="419"/>
      <c r="S756" s="419"/>
      <c r="T756" s="419"/>
    </row>
    <row r="757" spans="2:20" ht="19.5" customHeight="1">
      <c r="B757" s="1370"/>
      <c r="C757" s="1370"/>
      <c r="D757" s="1371"/>
      <c r="E757" s="531"/>
      <c r="F757" s="528"/>
      <c r="G757" s="528"/>
      <c r="H757" s="529"/>
      <c r="I757" s="532"/>
      <c r="J757" s="1028"/>
      <c r="K757" s="532"/>
      <c r="L757" s="533"/>
      <c r="M757" s="533"/>
      <c r="N757" s="1387"/>
      <c r="O757" s="1381"/>
      <c r="P757" s="1384"/>
      <c r="Q757" s="424"/>
      <c r="R757" s="419"/>
      <c r="S757" s="419"/>
      <c r="T757" s="419"/>
    </row>
    <row r="758" spans="2:20" ht="19.5" customHeight="1">
      <c r="B758" s="1370"/>
      <c r="C758" s="1370"/>
      <c r="D758" s="1371"/>
      <c r="E758" s="531"/>
      <c r="F758" s="535"/>
      <c r="G758" s="535"/>
      <c r="H758" s="536"/>
      <c r="I758" s="537"/>
      <c r="J758" s="1030"/>
      <c r="K758" s="537"/>
      <c r="L758" s="539"/>
      <c r="M758" s="539"/>
      <c r="N758" s="1641" t="s">
        <v>483</v>
      </c>
      <c r="O758" s="1628">
        <f>MAX(G736,O748,O756)</f>
        <v>0</v>
      </c>
      <c r="P758" s="1629" t="s">
        <v>453</v>
      </c>
      <c r="Q758" s="424"/>
      <c r="R758" s="419"/>
      <c r="S758" s="419"/>
      <c r="T758" s="419"/>
    </row>
    <row r="759" spans="2:20" ht="19.5" customHeight="1">
      <c r="B759" s="1370"/>
      <c r="C759" s="1370"/>
      <c r="D759" s="1371"/>
      <c r="E759" s="531"/>
      <c r="F759" s="535"/>
      <c r="G759" s="535"/>
      <c r="H759" s="536"/>
      <c r="I759" s="537"/>
      <c r="J759" s="1030"/>
      <c r="K759" s="537"/>
      <c r="L759" s="539"/>
      <c r="M759" s="539"/>
      <c r="N759" s="1387"/>
      <c r="O759" s="1381"/>
      <c r="P759" s="1384"/>
      <c r="Q759" s="424"/>
      <c r="R759" s="419"/>
      <c r="S759" s="419"/>
      <c r="T759" s="419"/>
    </row>
    <row r="760" spans="2:20" ht="19.5" customHeight="1">
      <c r="B760" s="1370"/>
      <c r="C760" s="1370"/>
      <c r="D760" s="1371"/>
      <c r="E760" s="531"/>
      <c r="F760" s="535"/>
      <c r="G760" s="535"/>
      <c r="H760" s="536"/>
      <c r="I760" s="537"/>
      <c r="J760" s="1030"/>
      <c r="K760" s="537"/>
      <c r="L760" s="539"/>
      <c r="M760" s="539"/>
      <c r="N760" s="1388"/>
      <c r="O760" s="1382"/>
      <c r="P760" s="1385"/>
      <c r="Q760" s="424"/>
      <c r="R760" s="419"/>
      <c r="S760" s="419"/>
      <c r="T760" s="419"/>
    </row>
    <row r="761" spans="2:20" ht="19.5" customHeight="1">
      <c r="B761" s="1370"/>
      <c r="C761" s="1370"/>
      <c r="D761" s="1371"/>
      <c r="E761" s="531"/>
      <c r="F761" s="535"/>
      <c r="G761" s="535"/>
      <c r="H761" s="536"/>
      <c r="I761" s="537"/>
      <c r="J761" s="1030"/>
      <c r="K761" s="537"/>
      <c r="L761" s="539"/>
      <c r="M761" s="539"/>
      <c r="N761" s="514" t="s">
        <v>145</v>
      </c>
      <c r="O761" s="777">
        <f>O758-O756</f>
        <v>0</v>
      </c>
      <c r="P761" s="515" t="s">
        <v>453</v>
      </c>
      <c r="Q761" s="424"/>
      <c r="R761" s="419"/>
      <c r="S761" s="419"/>
      <c r="T761" s="419"/>
    </row>
    <row r="762" spans="2:20" ht="19.5" customHeight="1">
      <c r="B762" s="1370"/>
      <c r="C762" s="1370"/>
      <c r="D762" s="1371"/>
      <c r="E762" s="531"/>
      <c r="F762" s="535"/>
      <c r="G762" s="535"/>
      <c r="H762" s="536"/>
      <c r="I762" s="537"/>
      <c r="J762" s="1030"/>
      <c r="K762" s="537"/>
      <c r="L762" s="539"/>
      <c r="M762" s="539"/>
      <c r="N762" s="1647" t="s">
        <v>125</v>
      </c>
      <c r="O762" s="1620" t="str">
        <f>IF(O756&gt;G739/L731,"OVER","INSIDE")</f>
        <v>INSIDE</v>
      </c>
      <c r="P762" s="1621"/>
      <c r="Q762" s="424"/>
      <c r="R762" s="419"/>
      <c r="S762" s="419"/>
      <c r="T762" s="419"/>
    </row>
    <row r="763" spans="2:20" ht="19.5" customHeight="1" thickBot="1">
      <c r="B763" s="1370"/>
      <c r="C763" s="1370"/>
      <c r="D763" s="1371"/>
      <c r="E763" s="531"/>
      <c r="F763" s="535"/>
      <c r="G763" s="535"/>
      <c r="H763" s="536"/>
      <c r="I763" s="537"/>
      <c r="J763" s="1030"/>
      <c r="K763" s="537"/>
      <c r="L763" s="539"/>
      <c r="M763" s="539"/>
      <c r="N763" s="1648"/>
      <c r="O763" s="1622"/>
      <c r="P763" s="1623"/>
      <c r="Q763" s="424"/>
      <c r="R763" s="419"/>
      <c r="S763" s="419"/>
      <c r="T763" s="419"/>
    </row>
    <row r="764" spans="2:20" ht="19.5" customHeight="1">
      <c r="B764" s="1370" t="s">
        <v>198</v>
      </c>
      <c r="C764" s="1370" t="s">
        <v>400</v>
      </c>
      <c r="D764" s="1371" t="s">
        <v>276</v>
      </c>
      <c r="E764" s="525"/>
      <c r="F764" s="541" t="s">
        <v>1</v>
      </c>
      <c r="G764" s="1239">
        <f>LEN(LEFT('記入シート'!D403,2))</f>
        <v>0</v>
      </c>
      <c r="H764" s="1240"/>
      <c r="I764" s="527" t="s">
        <v>452</v>
      </c>
      <c r="J764" s="1228" t="s">
        <v>353</v>
      </c>
      <c r="K764" s="1043">
        <f ca="1">CELL("row",'記入シート'!D403)</f>
        <v>403</v>
      </c>
      <c r="L764" s="1890">
        <v>2</v>
      </c>
      <c r="M764" s="1650">
        <f>M731</f>
        <v>131</v>
      </c>
      <c r="N764" s="1649" t="s">
        <v>8</v>
      </c>
      <c r="O764" s="1634">
        <f>IF(G764=0,0,1)</f>
        <v>0</v>
      </c>
      <c r="P764" s="1635" t="s">
        <v>453</v>
      </c>
      <c r="Q764" s="503" t="s">
        <v>6</v>
      </c>
      <c r="R764" s="419"/>
      <c r="S764" s="419"/>
      <c r="T764" s="419"/>
    </row>
    <row r="765" spans="2:20" ht="19.5" customHeight="1">
      <c r="B765" s="1370"/>
      <c r="C765" s="1370"/>
      <c r="D765" s="1371"/>
      <c r="E765" s="511"/>
      <c r="F765" s="508" t="s">
        <v>2</v>
      </c>
      <c r="G765" s="1229">
        <f>$L$58-G764</f>
        <v>2</v>
      </c>
      <c r="H765" s="1230"/>
      <c r="I765" s="495" t="s">
        <v>452</v>
      </c>
      <c r="J765" s="1172"/>
      <c r="K765" s="1060"/>
      <c r="L765" s="1637"/>
      <c r="M765" s="1640"/>
      <c r="N765" s="1646"/>
      <c r="O765" s="1382"/>
      <c r="P765" s="1385"/>
      <c r="Q765" s="986">
        <f>IF(G735=0,"",IF(O764=0,REPT("　",5*O766),CONCATENATE(REPT("　",G765),LEFT('記入シート'!D403,L764),"／",REPT("　",G767),LEFT('記入シート'!G403,L766),REPT("　",5*O766))))</f>
      </c>
      <c r="R765" s="419"/>
      <c r="S765" s="419"/>
      <c r="T765" s="419"/>
    </row>
    <row r="766" spans="2:20" ht="19.5" customHeight="1">
      <c r="B766" s="1370"/>
      <c r="C766" s="1370"/>
      <c r="D766" s="1371"/>
      <c r="E766" s="511"/>
      <c r="F766" s="508" t="s">
        <v>3</v>
      </c>
      <c r="G766" s="1229">
        <f>LEN(LEFT('記入シート'!G403,2))</f>
        <v>0</v>
      </c>
      <c r="H766" s="1230"/>
      <c r="I766" s="495" t="s">
        <v>452</v>
      </c>
      <c r="J766" s="1172" t="s">
        <v>354</v>
      </c>
      <c r="K766" s="1059">
        <f ca="1">CELL("row",'記入シート'!G403)</f>
        <v>403</v>
      </c>
      <c r="L766" s="1637">
        <v>2</v>
      </c>
      <c r="M766" s="1639">
        <f>M731</f>
        <v>131</v>
      </c>
      <c r="N766" s="1641" t="s">
        <v>240</v>
      </c>
      <c r="O766" s="1628">
        <f>O758-O764</f>
        <v>0</v>
      </c>
      <c r="P766" s="1629" t="s">
        <v>453</v>
      </c>
      <c r="Q766" s="987"/>
      <c r="R766" s="419"/>
      <c r="S766" s="419"/>
      <c r="T766" s="419"/>
    </row>
    <row r="767" spans="2:20" ht="19.5" customHeight="1">
      <c r="B767" s="1370"/>
      <c r="C767" s="1370"/>
      <c r="D767" s="1371"/>
      <c r="E767" s="511" t="s">
        <v>403</v>
      </c>
      <c r="F767" s="508" t="s">
        <v>461</v>
      </c>
      <c r="G767" s="1229">
        <f>$L$60-G766</f>
        <v>2</v>
      </c>
      <c r="H767" s="1230"/>
      <c r="I767" s="495" t="s">
        <v>452</v>
      </c>
      <c r="J767" s="1172"/>
      <c r="K767" s="1060"/>
      <c r="L767" s="1637"/>
      <c r="M767" s="1639"/>
      <c r="N767" s="1388"/>
      <c r="O767" s="1382"/>
      <c r="P767" s="1385"/>
      <c r="Q767" s="988"/>
      <c r="R767" s="419"/>
      <c r="S767" s="419"/>
      <c r="T767" s="419"/>
    </row>
    <row r="768" spans="2:20" ht="19.5" customHeight="1">
      <c r="B768" s="1370"/>
      <c r="C768" s="1370"/>
      <c r="D768" s="1371"/>
      <c r="E768" s="511" t="s">
        <v>288</v>
      </c>
      <c r="F768" s="508" t="s">
        <v>4</v>
      </c>
      <c r="G768" s="1229">
        <f>LEN(LEFT('記入シート'!N403,2))</f>
        <v>0</v>
      </c>
      <c r="H768" s="1230"/>
      <c r="I768" s="495" t="s">
        <v>452</v>
      </c>
      <c r="J768" s="1172" t="s">
        <v>355</v>
      </c>
      <c r="K768" s="1059">
        <f ca="1">CELL("row",'記入シート'!N403)</f>
        <v>403</v>
      </c>
      <c r="L768" s="1637">
        <v>2</v>
      </c>
      <c r="M768" s="1639">
        <f>M731</f>
        <v>131</v>
      </c>
      <c r="N768" s="1645" t="s">
        <v>178</v>
      </c>
      <c r="O768" s="1628">
        <f>IF(G768=0,0,1)</f>
        <v>0</v>
      </c>
      <c r="P768" s="1629" t="s">
        <v>453</v>
      </c>
      <c r="Q768" s="503" t="s">
        <v>7</v>
      </c>
      <c r="R768" s="419"/>
      <c r="S768" s="419"/>
      <c r="T768" s="419"/>
    </row>
    <row r="769" spans="2:20" ht="19.5" customHeight="1">
      <c r="B769" s="1370"/>
      <c r="C769" s="1370"/>
      <c r="D769" s="1371"/>
      <c r="E769" s="511"/>
      <c r="F769" s="508" t="s">
        <v>5</v>
      </c>
      <c r="G769" s="1229">
        <f>$L$62-G768</f>
        <v>2</v>
      </c>
      <c r="H769" s="1230"/>
      <c r="I769" s="495" t="s">
        <v>452</v>
      </c>
      <c r="J769" s="1172"/>
      <c r="K769" s="1060"/>
      <c r="L769" s="1637"/>
      <c r="M769" s="1639"/>
      <c r="N769" s="1646"/>
      <c r="O769" s="1382"/>
      <c r="P769" s="1385"/>
      <c r="Q769" s="986">
        <f>IF(G735=0,"",IF(O768=0,REPT("　",5*O770),CONCATENATE(REPT("　",G769),LEFT('記入シート'!N403,L768),"／",REPT("　",G771),LEFT('記入シート'!Q403,L770),REPT("　",5*O770))))</f>
      </c>
      <c r="R769" s="419"/>
      <c r="S769" s="419"/>
      <c r="T769" s="419"/>
    </row>
    <row r="770" spans="2:20" ht="19.5" customHeight="1">
      <c r="B770" s="1370"/>
      <c r="C770" s="1370"/>
      <c r="D770" s="1371"/>
      <c r="E770" s="511"/>
      <c r="F770" s="508" t="s">
        <v>462</v>
      </c>
      <c r="G770" s="1229">
        <f>LEN(LEFT('記入シート'!Q403,2))</f>
        <v>0</v>
      </c>
      <c r="H770" s="1230"/>
      <c r="I770" s="495" t="s">
        <v>452</v>
      </c>
      <c r="J770" s="1172" t="s">
        <v>356</v>
      </c>
      <c r="K770" s="1059">
        <f ca="1">CELL("row",'記入シート'!Q403)</f>
        <v>403</v>
      </c>
      <c r="L770" s="1637">
        <v>2</v>
      </c>
      <c r="M770" s="1639">
        <f>M731</f>
        <v>131</v>
      </c>
      <c r="N770" s="1641" t="s">
        <v>180</v>
      </c>
      <c r="O770" s="1628">
        <f>O758-O768</f>
        <v>0</v>
      </c>
      <c r="P770" s="1629" t="s">
        <v>453</v>
      </c>
      <c r="Q770" s="987"/>
      <c r="R770" s="419"/>
      <c r="S770" s="419"/>
      <c r="T770" s="419"/>
    </row>
    <row r="771" spans="2:20" ht="19.5" customHeight="1" thickBot="1">
      <c r="B771" s="1370"/>
      <c r="C771" s="1370"/>
      <c r="D771" s="1371"/>
      <c r="E771" s="566"/>
      <c r="F771" s="508" t="s">
        <v>463</v>
      </c>
      <c r="G771" s="1446">
        <f>$L$64-G770</f>
        <v>2</v>
      </c>
      <c r="H771" s="1447"/>
      <c r="I771" s="495" t="s">
        <v>452</v>
      </c>
      <c r="J771" s="1636"/>
      <c r="K771" s="1049"/>
      <c r="L771" s="1638"/>
      <c r="M771" s="1640"/>
      <c r="N771" s="1642"/>
      <c r="O771" s="1643"/>
      <c r="P771" s="1644"/>
      <c r="Q771" s="989"/>
      <c r="R771" s="419"/>
      <c r="S771" s="419"/>
      <c r="T771" s="419"/>
    </row>
    <row r="772" spans="2:20" ht="19.5" customHeight="1">
      <c r="B772" s="1370"/>
      <c r="C772" s="1370"/>
      <c r="D772" s="1371" t="s">
        <v>276</v>
      </c>
      <c r="E772" s="525" t="s">
        <v>404</v>
      </c>
      <c r="F772" s="526" t="s">
        <v>420</v>
      </c>
      <c r="G772" s="544"/>
      <c r="H772" s="493">
        <f>LEN(LEFT('記入シート'!C406,L772))</f>
        <v>0</v>
      </c>
      <c r="I772" s="527" t="s">
        <v>452</v>
      </c>
      <c r="J772" s="1233" t="s">
        <v>352</v>
      </c>
      <c r="K772" s="1050">
        <f ca="1">CELL("row",'記入シート'!C406)</f>
        <v>406</v>
      </c>
      <c r="L772" s="1752">
        <f>$L$66</f>
        <v>1</v>
      </c>
      <c r="M772" s="1630">
        <f>M731</f>
        <v>131</v>
      </c>
      <c r="N772" s="1632" t="s">
        <v>10</v>
      </c>
      <c r="O772" s="1634">
        <f>IF(H772=0,0,1)</f>
        <v>0</v>
      </c>
      <c r="P772" s="1635" t="s">
        <v>453</v>
      </c>
      <c r="Q772" s="639">
        <f>IF(G733=0,"",CONCATENATE(LEFT('記入シート'!C406,1),REPT("　",O774)))</f>
      </c>
      <c r="R772" s="419"/>
      <c r="S772" s="419"/>
      <c r="T772" s="419"/>
    </row>
    <row r="773" spans="2:20" s="186" customFormat="1" ht="19.5" customHeight="1">
      <c r="B773" s="1370"/>
      <c r="C773" s="1370"/>
      <c r="D773" s="1371"/>
      <c r="E773" s="531" t="s">
        <v>288</v>
      </c>
      <c r="F773" s="512" t="s">
        <v>460</v>
      </c>
      <c r="G773" s="528"/>
      <c r="H773" s="529">
        <f>$L$66-H772</f>
        <v>1</v>
      </c>
      <c r="I773" s="495" t="s">
        <v>452</v>
      </c>
      <c r="J773" s="1047"/>
      <c r="K773" s="1051"/>
      <c r="L773" s="1179"/>
      <c r="M773" s="1176"/>
      <c r="N773" s="1633"/>
      <c r="O773" s="1382"/>
      <c r="P773" s="1385"/>
      <c r="Q773" s="464"/>
      <c r="R773" s="419"/>
      <c r="S773" s="419"/>
      <c r="T773" s="419"/>
    </row>
    <row r="774" spans="2:106" s="186" customFormat="1" ht="19.5" customHeight="1" thickBot="1">
      <c r="B774" s="1373"/>
      <c r="C774" s="1373"/>
      <c r="D774" s="1372"/>
      <c r="E774" s="567"/>
      <c r="F774" s="545" t="s">
        <v>158</v>
      </c>
      <c r="G774" s="781" t="s">
        <v>159</v>
      </c>
      <c r="H774" s="452">
        <f>WIDECHAR('記入シート'!C406)</f>
      </c>
      <c r="I774" s="782" t="s">
        <v>160</v>
      </c>
      <c r="J774" s="1899"/>
      <c r="K774" s="1052"/>
      <c r="L774" s="1894"/>
      <c r="M774" s="1631"/>
      <c r="N774" s="778" t="s">
        <v>148</v>
      </c>
      <c r="O774" s="777">
        <f>O758-O772</f>
        <v>0</v>
      </c>
      <c r="P774" s="515" t="s">
        <v>453</v>
      </c>
      <c r="Q774" s="465"/>
      <c r="R774" s="419"/>
      <c r="S774" s="419"/>
      <c r="T774" s="419"/>
      <c r="U774" s="205"/>
      <c r="V774" s="205"/>
      <c r="W774" s="205"/>
      <c r="X774" s="205"/>
      <c r="Y774" s="205"/>
      <c r="Z774" s="205"/>
      <c r="AA774" s="205"/>
      <c r="AB774" s="205"/>
      <c r="AC774" s="205"/>
      <c r="AD774" s="205"/>
      <c r="AE774" s="205"/>
      <c r="AF774" s="205"/>
      <c r="AG774" s="205"/>
      <c r="AH774" s="205"/>
      <c r="AI774" s="205"/>
      <c r="AJ774" s="205"/>
      <c r="AK774" s="205"/>
      <c r="AL774" s="205"/>
      <c r="AM774" s="205"/>
      <c r="AN774" s="205"/>
      <c r="AO774" s="205"/>
      <c r="AP774" s="205"/>
      <c r="AQ774" s="205"/>
      <c r="AR774" s="205"/>
      <c r="AS774" s="205"/>
      <c r="AT774" s="205"/>
      <c r="AU774" s="205"/>
      <c r="AV774" s="205"/>
      <c r="AW774" s="205"/>
      <c r="AX774" s="205"/>
      <c r="AY774" s="205"/>
      <c r="AZ774" s="205"/>
      <c r="BA774" s="205"/>
      <c r="BB774" s="205"/>
      <c r="BC774" s="205"/>
      <c r="BD774" s="205"/>
      <c r="BE774" s="205"/>
      <c r="BF774" s="205"/>
      <c r="BG774" s="205"/>
      <c r="BH774" s="205"/>
      <c r="BI774" s="205"/>
      <c r="BJ774" s="205"/>
      <c r="BK774" s="205"/>
      <c r="BL774" s="205"/>
      <c r="BM774" s="205"/>
      <c r="BN774" s="205"/>
      <c r="BO774" s="205"/>
      <c r="BP774" s="205"/>
      <c r="BQ774" s="205"/>
      <c r="BR774" s="205"/>
      <c r="BS774" s="205"/>
      <c r="BT774" s="205"/>
      <c r="BU774" s="205"/>
      <c r="BV774" s="205"/>
      <c r="BW774" s="205"/>
      <c r="BX774" s="205"/>
      <c r="BY774" s="205"/>
      <c r="BZ774" s="205"/>
      <c r="CA774" s="205"/>
      <c r="CB774" s="205"/>
      <c r="CC774" s="205"/>
      <c r="CD774" s="205"/>
      <c r="CE774" s="205"/>
      <c r="CF774" s="205"/>
      <c r="CG774" s="205"/>
      <c r="CH774" s="205"/>
      <c r="CI774" s="205"/>
      <c r="CJ774" s="205"/>
      <c r="CK774" s="205"/>
      <c r="CL774" s="205"/>
      <c r="CM774" s="205"/>
      <c r="CN774" s="205"/>
      <c r="CO774" s="205"/>
      <c r="CP774" s="205"/>
      <c r="CQ774" s="205"/>
      <c r="CR774" s="205"/>
      <c r="CS774" s="205"/>
      <c r="CT774" s="205"/>
      <c r="CU774" s="205"/>
      <c r="CV774" s="205"/>
      <c r="CW774" s="205"/>
      <c r="CX774" s="205"/>
      <c r="CY774" s="205"/>
      <c r="CZ774" s="205"/>
      <c r="DA774" s="205"/>
      <c r="DB774" s="205"/>
    </row>
    <row r="775" spans="2:106" s="186" customFormat="1" ht="19.5" customHeight="1" thickTop="1">
      <c r="B775" s="1374" t="s">
        <v>117</v>
      </c>
      <c r="C775" s="1374" t="s">
        <v>400</v>
      </c>
      <c r="D775" s="1901" t="s">
        <v>269</v>
      </c>
      <c r="E775" s="568" t="s">
        <v>271</v>
      </c>
      <c r="F775" s="569"/>
      <c r="G775" s="1659">
        <f>O582+O626+O670+O714+O758</f>
        <v>0</v>
      </c>
      <c r="H775" s="1660"/>
      <c r="I775" s="1031" t="s">
        <v>453</v>
      </c>
      <c r="J775" s="1056" t="s">
        <v>400</v>
      </c>
      <c r="K775" s="1041"/>
      <c r="L775" s="1042"/>
      <c r="M775" s="1032" t="str">
        <f>IF(G782="OVER","※＃３は超過しているため表示できません",CONCATENATE(REPT("　",G793*$L$32),Q555,Q599,Q643,Q687,Q731,REPT("　",(G779-G775+G797)*$L$32)))</f>
        <v>　　　　　　　　　　　　　　　　　　　</v>
      </c>
      <c r="N775" s="806"/>
      <c r="O775" s="806"/>
      <c r="P775" s="8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  <c r="AK775" s="206"/>
      <c r="AL775" s="206"/>
      <c r="AM775" s="206"/>
      <c r="AN775" s="206"/>
      <c r="AO775" s="206"/>
      <c r="AP775" s="206"/>
      <c r="AQ775" s="206"/>
      <c r="AR775" s="206"/>
      <c r="AS775" s="206"/>
      <c r="AT775" s="206"/>
      <c r="AU775" s="206"/>
      <c r="AV775" s="206"/>
      <c r="AW775" s="206"/>
      <c r="AX775" s="206"/>
      <c r="AY775" s="206"/>
      <c r="AZ775" s="206"/>
      <c r="BA775" s="206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  <c r="BZ775" s="206"/>
      <c r="CA775" s="206"/>
      <c r="CB775" s="206"/>
      <c r="CC775" s="206"/>
      <c r="CD775" s="206"/>
      <c r="CE775" s="206"/>
      <c r="CF775" s="206"/>
      <c r="CG775" s="206"/>
      <c r="CH775" s="206"/>
      <c r="CI775" s="206"/>
      <c r="CJ775" s="206"/>
      <c r="CK775" s="206"/>
      <c r="CL775" s="206"/>
      <c r="CM775" s="206"/>
      <c r="CN775" s="206"/>
      <c r="CO775" s="206"/>
      <c r="CP775" s="206"/>
      <c r="CQ775" s="206"/>
      <c r="CR775" s="206"/>
      <c r="CS775" s="206"/>
      <c r="CT775" s="206"/>
      <c r="CU775" s="206"/>
      <c r="CV775" s="206"/>
      <c r="CW775" s="206"/>
      <c r="CX775" s="206"/>
      <c r="CY775" s="206"/>
      <c r="CZ775" s="206"/>
      <c r="DA775" s="206"/>
      <c r="DB775" s="206"/>
    </row>
    <row r="776" spans="2:106" s="186" customFormat="1" ht="19.5" customHeight="1">
      <c r="B776" s="1370"/>
      <c r="C776" s="1370"/>
      <c r="D776" s="1902"/>
      <c r="E776" s="1895" t="s">
        <v>272</v>
      </c>
      <c r="F776" s="1896"/>
      <c r="G776" s="1119" t="str">
        <f>IF(G775&gt;J520,"OVER","INSIDE")</f>
        <v>INSIDE</v>
      </c>
      <c r="H776" s="1508"/>
      <c r="I776" s="1515"/>
      <c r="J776" s="1053" t="s">
        <v>401</v>
      </c>
      <c r="K776" s="1054"/>
      <c r="L776" s="1055"/>
      <c r="M776" s="467" t="str">
        <f>IF(G782="OVER","※　OVER",CONCATENATE(REPT("　",G793*$L$40),Q567,Q611,Q655,Q699,Q743,REPT("　",(G779-G775+G797)*$L$40)))</f>
        <v>　　　　　　</v>
      </c>
      <c r="N776" s="530"/>
      <c r="O776" s="530"/>
      <c r="P776" s="530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  <c r="AK776" s="206"/>
      <c r="AL776" s="206"/>
      <c r="AM776" s="206"/>
      <c r="AN776" s="206"/>
      <c r="AO776" s="206"/>
      <c r="AP776" s="206"/>
      <c r="AQ776" s="206"/>
      <c r="AR776" s="206"/>
      <c r="AS776" s="206"/>
      <c r="AT776" s="206"/>
      <c r="AU776" s="206"/>
      <c r="AV776" s="206"/>
      <c r="AW776" s="206"/>
      <c r="AX776" s="206"/>
      <c r="AY776" s="206"/>
      <c r="AZ776" s="206"/>
      <c r="BA776" s="206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  <c r="BZ776" s="206"/>
      <c r="CA776" s="206"/>
      <c r="CB776" s="206"/>
      <c r="CC776" s="206"/>
      <c r="CD776" s="206"/>
      <c r="CE776" s="206"/>
      <c r="CF776" s="206"/>
      <c r="CG776" s="206"/>
      <c r="CH776" s="206"/>
      <c r="CI776" s="206"/>
      <c r="CJ776" s="206"/>
      <c r="CK776" s="206"/>
      <c r="CL776" s="206"/>
      <c r="CM776" s="206"/>
      <c r="CN776" s="206"/>
      <c r="CO776" s="206"/>
      <c r="CP776" s="206"/>
      <c r="CQ776" s="206"/>
      <c r="CR776" s="206"/>
      <c r="CS776" s="206"/>
      <c r="CT776" s="206"/>
      <c r="CU776" s="206"/>
      <c r="CV776" s="206"/>
      <c r="CW776" s="206"/>
      <c r="CX776" s="206"/>
      <c r="CY776" s="206"/>
      <c r="CZ776" s="206"/>
      <c r="DA776" s="206"/>
      <c r="DB776" s="206"/>
    </row>
    <row r="777" spans="2:106" s="186" customFormat="1" ht="19.5" customHeight="1">
      <c r="B777" s="1370"/>
      <c r="C777" s="1370"/>
      <c r="D777" s="1902"/>
      <c r="E777" s="1897"/>
      <c r="F777" s="1898"/>
      <c r="G777" s="1113"/>
      <c r="H777" s="1108"/>
      <c r="I777" s="1516"/>
      <c r="J777" s="1076" t="s">
        <v>402</v>
      </c>
      <c r="K777" s="1077"/>
      <c r="L777" s="1069"/>
      <c r="M777" s="571" t="str">
        <f>IF(G782="OVER","※　OVER",CONCATENATE(REPT("　",G793*$L$49),Q577,Q621,Q665,Q709,Q753,REPT("　",(G779-G775+G797)*$L$49)))</f>
        <v>　　　　　　</v>
      </c>
      <c r="N777" s="807"/>
      <c r="O777" s="807"/>
      <c r="P777" s="807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  <c r="AK777" s="206"/>
      <c r="AL777" s="206"/>
      <c r="AM777" s="206"/>
      <c r="AN777" s="206"/>
      <c r="AO777" s="206"/>
      <c r="AP777" s="206"/>
      <c r="AQ777" s="206"/>
      <c r="AR777" s="206"/>
      <c r="AS777" s="206"/>
      <c r="AT777" s="206"/>
      <c r="AU777" s="206"/>
      <c r="AV777" s="206"/>
      <c r="AW777" s="206"/>
      <c r="AX777" s="206"/>
      <c r="AY777" s="206"/>
      <c r="AZ777" s="206"/>
      <c r="BA777" s="206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  <c r="BZ777" s="206"/>
      <c r="CA777" s="206"/>
      <c r="CB777" s="206"/>
      <c r="CC777" s="206"/>
      <c r="CD777" s="206"/>
      <c r="CE777" s="206"/>
      <c r="CF777" s="206"/>
      <c r="CG777" s="206"/>
      <c r="CH777" s="206"/>
      <c r="CI777" s="206"/>
      <c r="CJ777" s="206"/>
      <c r="CK777" s="206"/>
      <c r="CL777" s="206"/>
      <c r="CM777" s="206"/>
      <c r="CN777" s="206"/>
      <c r="CO777" s="206"/>
      <c r="CP777" s="206"/>
      <c r="CQ777" s="206"/>
      <c r="CR777" s="206"/>
      <c r="CS777" s="206"/>
      <c r="CT777" s="206"/>
      <c r="CU777" s="206"/>
      <c r="CV777" s="206"/>
      <c r="CW777" s="206"/>
      <c r="CX777" s="206"/>
      <c r="CY777" s="206"/>
      <c r="CZ777" s="206"/>
      <c r="DA777" s="206"/>
      <c r="DB777" s="206"/>
    </row>
    <row r="778" spans="2:106" s="186" customFormat="1" ht="19.5" customHeight="1">
      <c r="B778" s="1370"/>
      <c r="C778" s="1370"/>
      <c r="D778" s="1902"/>
      <c r="E778" s="573"/>
      <c r="F778" s="507"/>
      <c r="G778" s="1226"/>
      <c r="H778" s="1227"/>
      <c r="I778" s="772"/>
      <c r="J778" s="1068" t="s">
        <v>6</v>
      </c>
      <c r="K778" s="1057"/>
      <c r="L778" s="1058"/>
      <c r="M778" s="470" t="str">
        <f>IF(G782="OVER","※OVER",CONCATENATE(REPT("　",G793*5),Q589,Q633,Q677,Q721,Q765,REPT("　",(G779-G775+G797)*5)))</f>
        <v>　　　　　</v>
      </c>
      <c r="N778" s="606"/>
      <c r="O778" s="606"/>
      <c r="P778" s="6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  <c r="AK778" s="206"/>
      <c r="AL778" s="206"/>
      <c r="AM778" s="206"/>
      <c r="AN778" s="206"/>
      <c r="AO778" s="206"/>
      <c r="AP778" s="206"/>
      <c r="AQ778" s="206"/>
      <c r="AR778" s="206"/>
      <c r="AS778" s="206"/>
      <c r="AT778" s="206"/>
      <c r="AU778" s="206"/>
      <c r="AV778" s="206"/>
      <c r="AW778" s="206"/>
      <c r="AX778" s="206"/>
      <c r="AY778" s="206"/>
      <c r="AZ778" s="206"/>
      <c r="BA778" s="206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  <c r="BZ778" s="206"/>
      <c r="CA778" s="206"/>
      <c r="CB778" s="206"/>
      <c r="CC778" s="206"/>
      <c r="CD778" s="206"/>
      <c r="CE778" s="206"/>
      <c r="CF778" s="206"/>
      <c r="CG778" s="206"/>
      <c r="CH778" s="206"/>
      <c r="CI778" s="206"/>
      <c r="CJ778" s="206"/>
      <c r="CK778" s="206"/>
      <c r="CL778" s="206"/>
      <c r="CM778" s="206"/>
      <c r="CN778" s="206"/>
      <c r="CO778" s="206"/>
      <c r="CP778" s="206"/>
      <c r="CQ778" s="206"/>
      <c r="CR778" s="206"/>
      <c r="CS778" s="206"/>
      <c r="CT778" s="206"/>
      <c r="CU778" s="206"/>
      <c r="CV778" s="206"/>
      <c r="CW778" s="206"/>
      <c r="CX778" s="206"/>
      <c r="CY778" s="206"/>
      <c r="CZ778" s="206"/>
      <c r="DA778" s="206"/>
      <c r="DB778" s="206"/>
    </row>
    <row r="779" spans="2:106" s="186" customFormat="1" ht="19.5" customHeight="1">
      <c r="B779" s="1370"/>
      <c r="C779" s="1370"/>
      <c r="D779" s="1902"/>
      <c r="E779" s="1895" t="s">
        <v>270</v>
      </c>
      <c r="F779" s="1896"/>
      <c r="G779" s="1224">
        <f>MAX(G526,G537,G548,G775)</f>
        <v>0</v>
      </c>
      <c r="H779" s="1225"/>
      <c r="I779" s="1509" t="s">
        <v>453</v>
      </c>
      <c r="J779" s="1065" t="s">
        <v>7</v>
      </c>
      <c r="K779" s="1066"/>
      <c r="L779" s="1067"/>
      <c r="M779" s="472" t="str">
        <f>IF(G782="OVER","※OVER",CONCATENATE(REPT("　",G793*5),Q593,Q637,Q681,Q725,Q769,REPT("　",(G779-G775+G797)*5)))</f>
        <v>　　　　　</v>
      </c>
      <c r="N779" s="808"/>
      <c r="O779" s="808"/>
      <c r="P779" s="808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  <c r="AK779" s="206"/>
      <c r="AL779" s="206"/>
      <c r="AM779" s="206"/>
      <c r="AN779" s="206"/>
      <c r="AO779" s="206"/>
      <c r="AP779" s="206"/>
      <c r="AQ779" s="206"/>
      <c r="AR779" s="206"/>
      <c r="AS779" s="206"/>
      <c r="AT779" s="206"/>
      <c r="AU779" s="206"/>
      <c r="AV779" s="206"/>
      <c r="AW779" s="206"/>
      <c r="AX779" s="206"/>
      <c r="AY779" s="206"/>
      <c r="AZ779" s="206"/>
      <c r="BA779" s="206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  <c r="BZ779" s="206"/>
      <c r="CA779" s="206"/>
      <c r="CB779" s="206"/>
      <c r="CC779" s="206"/>
      <c r="CD779" s="206"/>
      <c r="CE779" s="206"/>
      <c r="CF779" s="206"/>
      <c r="CG779" s="206"/>
      <c r="CH779" s="206"/>
      <c r="CI779" s="206"/>
      <c r="CJ779" s="206"/>
      <c r="CK779" s="206"/>
      <c r="CL779" s="206"/>
      <c r="CM779" s="206"/>
      <c r="CN779" s="206"/>
      <c r="CO779" s="206"/>
      <c r="CP779" s="206"/>
      <c r="CQ779" s="206"/>
      <c r="CR779" s="206"/>
      <c r="CS779" s="206"/>
      <c r="CT779" s="206"/>
      <c r="CU779" s="206"/>
      <c r="CV779" s="206"/>
      <c r="CW779" s="206"/>
      <c r="CX779" s="206"/>
      <c r="CY779" s="206"/>
      <c r="CZ779" s="206"/>
      <c r="DA779" s="206"/>
      <c r="DB779" s="206"/>
    </row>
    <row r="780" spans="2:106" s="186" customFormat="1" ht="19.5" customHeight="1">
      <c r="B780" s="1900"/>
      <c r="C780" s="1900"/>
      <c r="D780" s="1903"/>
      <c r="E780" s="1897"/>
      <c r="F780" s="1898"/>
      <c r="G780" s="1454"/>
      <c r="H780" s="1455"/>
      <c r="I780" s="1510"/>
      <c r="J780" s="1079" t="s">
        <v>404</v>
      </c>
      <c r="K780" s="1080"/>
      <c r="L780" s="1075"/>
      <c r="M780" s="474" t="str">
        <f>IF(G782="OVER","※",CONCATENATE(REPT("　",G793),Q596,Q640,Q684,Q728,Q772,REPT("　",(G779-G775+G797))))</f>
        <v>　</v>
      </c>
      <c r="N780" s="809"/>
      <c r="O780" s="809"/>
      <c r="P780" s="809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  <c r="AK780" s="206"/>
      <c r="AL780" s="206"/>
      <c r="AM780" s="206"/>
      <c r="AN780" s="206"/>
      <c r="AO780" s="206"/>
      <c r="AP780" s="206"/>
      <c r="AQ780" s="206"/>
      <c r="AR780" s="206"/>
      <c r="AS780" s="206"/>
      <c r="AT780" s="206"/>
      <c r="AU780" s="206"/>
      <c r="AV780" s="206"/>
      <c r="AW780" s="206"/>
      <c r="AX780" s="206"/>
      <c r="AY780" s="206"/>
      <c r="AZ780" s="206"/>
      <c r="BA780" s="206"/>
      <c r="BB780" s="206"/>
      <c r="BC780" s="206"/>
      <c r="BD780" s="206"/>
      <c r="BE780" s="206"/>
      <c r="BF780" s="206"/>
      <c r="BG780" s="206"/>
      <c r="BH780" s="206"/>
      <c r="BI780" s="206"/>
      <c r="BJ780" s="206"/>
      <c r="BK780" s="206"/>
      <c r="BL780" s="206"/>
      <c r="BM780" s="206"/>
      <c r="BN780" s="206"/>
      <c r="BO780" s="206"/>
      <c r="BP780" s="206"/>
      <c r="BQ780" s="206"/>
      <c r="BR780" s="206"/>
      <c r="BS780" s="206"/>
      <c r="BT780" s="206"/>
      <c r="BU780" s="206"/>
      <c r="BV780" s="206"/>
      <c r="BW780" s="206"/>
      <c r="BX780" s="206"/>
      <c r="BY780" s="206"/>
      <c r="BZ780" s="206"/>
      <c r="CA780" s="206"/>
      <c r="CB780" s="206"/>
      <c r="CC780" s="206"/>
      <c r="CD780" s="206"/>
      <c r="CE780" s="206"/>
      <c r="CF780" s="206"/>
      <c r="CG780" s="206"/>
      <c r="CH780" s="206"/>
      <c r="CI780" s="206"/>
      <c r="CJ780" s="206"/>
      <c r="CK780" s="206"/>
      <c r="CL780" s="206"/>
      <c r="CM780" s="206"/>
      <c r="CN780" s="206"/>
      <c r="CO780" s="206"/>
      <c r="CP780" s="206"/>
      <c r="CQ780" s="206"/>
      <c r="CR780" s="206"/>
      <c r="CS780" s="206"/>
      <c r="CT780" s="206"/>
      <c r="CU780" s="206"/>
      <c r="CV780" s="206"/>
      <c r="CW780" s="206"/>
      <c r="CX780" s="206"/>
      <c r="CY780" s="206"/>
      <c r="CZ780" s="206"/>
      <c r="DA780" s="206"/>
      <c r="DB780" s="206"/>
    </row>
    <row r="781" spans="2:20" s="186" customFormat="1" ht="21" customHeight="1">
      <c r="B781" s="860"/>
      <c r="C781" s="499"/>
      <c r="D781" s="574"/>
      <c r="E781" s="512" t="s">
        <v>122</v>
      </c>
      <c r="F781" s="512"/>
      <c r="G781" s="1224">
        <f>MIN(G526,G537,G548,G776)</f>
        <v>0</v>
      </c>
      <c r="H781" s="1225"/>
      <c r="I781" s="696" t="s">
        <v>453</v>
      </c>
      <c r="J781" s="1004"/>
      <c r="K781" s="1018"/>
      <c r="L781" s="194"/>
      <c r="M781" s="195"/>
      <c r="N781" s="811"/>
      <c r="O781" s="196"/>
      <c r="P781" s="197"/>
      <c r="Q781" s="193"/>
      <c r="R781" s="193"/>
      <c r="S781" s="193"/>
      <c r="T781" s="193"/>
    </row>
    <row r="782" spans="2:20" s="186" customFormat="1" ht="21" customHeight="1" thickBot="1">
      <c r="B782" s="861"/>
      <c r="C782" s="538"/>
      <c r="D782" s="538"/>
      <c r="E782" s="535" t="s">
        <v>176</v>
      </c>
      <c r="F782" s="553"/>
      <c r="G782" s="1119" t="str">
        <f>IF(MAX(G526,G537,G548,G775)&gt;J520,"OVER","INSIDE")</f>
        <v>INSIDE</v>
      </c>
      <c r="H782" s="1508"/>
      <c r="I782" s="1120"/>
      <c r="J782" s="1004"/>
      <c r="K782" s="1018"/>
      <c r="L782" s="194"/>
      <c r="M782" s="195"/>
      <c r="N782" s="811"/>
      <c r="O782" s="196"/>
      <c r="P782" s="197"/>
      <c r="Q782" s="193"/>
      <c r="R782" s="193"/>
      <c r="S782" s="193"/>
      <c r="T782" s="193"/>
    </row>
    <row r="783" spans="2:20" ht="19.5" customHeight="1">
      <c r="B783" s="1962" t="s">
        <v>339</v>
      </c>
      <c r="C783" s="1963"/>
      <c r="D783" s="1963"/>
      <c r="E783" s="1963"/>
      <c r="F783" s="1964"/>
      <c r="G783" s="1239">
        <f>G515+G518</f>
        <v>2</v>
      </c>
      <c r="H783" s="1240"/>
      <c r="I783" s="492" t="s">
        <v>453</v>
      </c>
      <c r="K783" s="380"/>
      <c r="L783" s="774"/>
      <c r="M783" s="775"/>
      <c r="N783" s="775"/>
      <c r="O783" s="775"/>
      <c r="P783" s="775"/>
      <c r="Q783" s="775"/>
      <c r="R783" s="775"/>
      <c r="S783" s="775"/>
      <c r="T783" s="775"/>
    </row>
    <row r="784" spans="2:20" ht="19.5" customHeight="1">
      <c r="B784" s="1359" t="s">
        <v>340</v>
      </c>
      <c r="C784" s="1360"/>
      <c r="D784" s="1360"/>
      <c r="E784" s="1360"/>
      <c r="F784" s="1044"/>
      <c r="G784" s="1229">
        <f>ROUNDUP(G783/27,0)</f>
        <v>1</v>
      </c>
      <c r="H784" s="1230"/>
      <c r="I784" s="480" t="s">
        <v>36</v>
      </c>
      <c r="K784" s="380"/>
      <c r="L784" s="774"/>
      <c r="M784" s="775"/>
      <c r="N784" s="775"/>
      <c r="O784" s="775"/>
      <c r="P784" s="775"/>
      <c r="Q784" s="775"/>
      <c r="R784" s="775"/>
      <c r="S784" s="775"/>
      <c r="T784" s="775"/>
    </row>
    <row r="785" spans="2:20" ht="19.5" customHeight="1">
      <c r="B785" s="1359" t="s">
        <v>341</v>
      </c>
      <c r="C785" s="1360"/>
      <c r="D785" s="1360"/>
      <c r="E785" s="1360"/>
      <c r="F785" s="1044"/>
      <c r="G785" s="1229">
        <f>G783+G779</f>
        <v>2</v>
      </c>
      <c r="H785" s="1230"/>
      <c r="I785" s="476" t="s">
        <v>453</v>
      </c>
      <c r="K785" s="380"/>
      <c r="L785" s="774"/>
      <c r="M785" s="775"/>
      <c r="N785" s="775"/>
      <c r="O785" s="775"/>
      <c r="P785" s="775"/>
      <c r="Q785" s="775"/>
      <c r="R785" s="775"/>
      <c r="S785" s="775"/>
      <c r="T785" s="775"/>
    </row>
    <row r="786" spans="2:20" ht="19.5" customHeight="1">
      <c r="B786" s="1949"/>
      <c r="C786" s="1950"/>
      <c r="D786" s="1360" t="s">
        <v>342</v>
      </c>
      <c r="E786" s="1360"/>
      <c r="F786" s="1044"/>
      <c r="G786" s="1468">
        <f>G783+G526</f>
        <v>2</v>
      </c>
      <c r="H786" s="1469"/>
      <c r="I786" s="476" t="s">
        <v>453</v>
      </c>
      <c r="K786" s="380"/>
      <c r="L786" s="774"/>
      <c r="M786" s="775"/>
      <c r="N786" s="775"/>
      <c r="O786" s="775"/>
      <c r="P786" s="775"/>
      <c r="Q786" s="775"/>
      <c r="R786" s="775"/>
      <c r="S786" s="775"/>
      <c r="T786" s="775"/>
    </row>
    <row r="787" spans="2:20" ht="19.5" customHeight="1">
      <c r="B787" s="1951"/>
      <c r="C787" s="1952"/>
      <c r="D787" s="1360" t="s">
        <v>343</v>
      </c>
      <c r="E787" s="1360"/>
      <c r="F787" s="1044"/>
      <c r="G787" s="1229">
        <f>G783+G537</f>
        <v>2</v>
      </c>
      <c r="H787" s="1230"/>
      <c r="I787" s="476" t="s">
        <v>453</v>
      </c>
      <c r="K787" s="380"/>
      <c r="L787" s="774"/>
      <c r="M787" s="775"/>
      <c r="N787" s="775"/>
      <c r="O787" s="775"/>
      <c r="P787" s="775"/>
      <c r="Q787" s="775"/>
      <c r="R787" s="775"/>
      <c r="S787" s="775"/>
      <c r="T787" s="775"/>
    </row>
    <row r="788" spans="2:20" ht="19.5" customHeight="1">
      <c r="B788" s="1951"/>
      <c r="C788" s="1952"/>
      <c r="D788" s="1360" t="s">
        <v>344</v>
      </c>
      <c r="E788" s="1360"/>
      <c r="F788" s="1044"/>
      <c r="G788" s="1229">
        <f>G783+G548</f>
        <v>2</v>
      </c>
      <c r="H788" s="1230"/>
      <c r="I788" s="476" t="s">
        <v>453</v>
      </c>
      <c r="K788" s="380"/>
      <c r="L788" s="774"/>
      <c r="M788" s="775"/>
      <c r="N788" s="775"/>
      <c r="O788" s="775"/>
      <c r="P788" s="775"/>
      <c r="Q788" s="775"/>
      <c r="R788" s="775"/>
      <c r="S788" s="775"/>
      <c r="T788" s="775"/>
    </row>
    <row r="789" spans="2:20" ht="19.5" customHeight="1">
      <c r="B789" s="862"/>
      <c r="C789" s="821"/>
      <c r="D789" s="1360" t="s">
        <v>47</v>
      </c>
      <c r="E789" s="1360"/>
      <c r="F789" s="1044"/>
      <c r="G789" s="1229">
        <f>MAX(G786,G787,G788)</f>
        <v>2</v>
      </c>
      <c r="H789" s="1230"/>
      <c r="I789" s="476" t="s">
        <v>453</v>
      </c>
      <c r="K789" s="380"/>
      <c r="L789" s="774"/>
      <c r="M789" s="775"/>
      <c r="N789" s="775"/>
      <c r="O789" s="775"/>
      <c r="P789" s="775"/>
      <c r="Q789" s="775"/>
      <c r="R789" s="775"/>
      <c r="S789" s="775"/>
      <c r="T789" s="775"/>
    </row>
    <row r="790" spans="2:20" ht="19.5" customHeight="1">
      <c r="B790" s="862"/>
      <c r="C790" s="822"/>
      <c r="D790" s="1360" t="s">
        <v>48</v>
      </c>
      <c r="E790" s="1360"/>
      <c r="F790" s="1044"/>
      <c r="G790" s="1229">
        <f>ROUNDUP(G789/27,0)</f>
        <v>1</v>
      </c>
      <c r="H790" s="1230"/>
      <c r="I790" s="480" t="s">
        <v>36</v>
      </c>
      <c r="K790" s="380"/>
      <c r="L790" s="774"/>
      <c r="M790" s="775"/>
      <c r="N790" s="775"/>
      <c r="O790" s="775"/>
      <c r="P790" s="775"/>
      <c r="Q790" s="775"/>
      <c r="R790" s="775"/>
      <c r="S790" s="775"/>
      <c r="T790" s="775"/>
    </row>
    <row r="791" spans="2:20" ht="19.5" customHeight="1">
      <c r="B791" s="862"/>
      <c r="C791" s="822"/>
      <c r="D791" s="1360" t="s">
        <v>368</v>
      </c>
      <c r="E791" s="1360"/>
      <c r="F791" s="1044"/>
      <c r="G791" s="1248" t="str">
        <f>IF(G516=G790,"同じ","違う")</f>
        <v>同じ</v>
      </c>
      <c r="H791" s="1249"/>
      <c r="I791" s="1250"/>
      <c r="K791" s="380"/>
      <c r="L791" s="774"/>
      <c r="M791" s="775"/>
      <c r="N791" s="775"/>
      <c r="O791" s="775"/>
      <c r="P791" s="775"/>
      <c r="Q791" s="775"/>
      <c r="R791" s="775"/>
      <c r="S791" s="775"/>
      <c r="T791" s="775"/>
    </row>
    <row r="792" spans="2:20" ht="19.5" customHeight="1">
      <c r="B792" s="863"/>
      <c r="C792" s="825"/>
      <c r="D792" s="1359" t="s">
        <v>369</v>
      </c>
      <c r="E792" s="1360"/>
      <c r="F792" s="1044"/>
      <c r="G792" s="1248" t="str">
        <f>IF(G791="同じ","不要","必要")</f>
        <v>不要</v>
      </c>
      <c r="H792" s="1249"/>
      <c r="I792" s="1250"/>
      <c r="J792" s="1073" t="s">
        <v>362</v>
      </c>
      <c r="K792" s="1074"/>
      <c r="L792" s="1217" t="s">
        <v>360</v>
      </c>
      <c r="M792" s="1218"/>
      <c r="N792" s="1219"/>
      <c r="O792" s="993">
        <f>IF(G792="必要",G784+1,G784)</f>
        <v>1</v>
      </c>
      <c r="P792" s="994" t="s">
        <v>36</v>
      </c>
      <c r="Q792" s="775"/>
      <c r="R792" s="775"/>
      <c r="S792" s="775"/>
      <c r="T792" s="775"/>
    </row>
    <row r="793" spans="2:20" ht="19.5" customHeight="1">
      <c r="B793" s="1359" t="s">
        <v>39</v>
      </c>
      <c r="C793" s="1360"/>
      <c r="D793" s="1360"/>
      <c r="E793" s="1360"/>
      <c r="F793" s="1044"/>
      <c r="G793" s="1229">
        <f>IF(G792="必要",G784*27-G783,0)</f>
        <v>0</v>
      </c>
      <c r="H793" s="1230"/>
      <c r="I793" s="480" t="s">
        <v>453</v>
      </c>
      <c r="J793" s="1018"/>
      <c r="K793" s="380"/>
      <c r="L793" s="990" t="s">
        <v>357</v>
      </c>
      <c r="M793" s="991"/>
      <c r="N793" s="992"/>
      <c r="O793" s="1220" t="str">
        <f>IF(O792&gt;$G$8,"ＯＶＥＲ","ＩＮＳＩＤＥ")</f>
        <v>ＩＮＳＩＤＥ</v>
      </c>
      <c r="P793" s="1221"/>
      <c r="Q793" s="775"/>
      <c r="R793" s="775"/>
      <c r="S793" s="775"/>
      <c r="T793" s="775"/>
    </row>
    <row r="794" spans="2:20" ht="19.5" customHeight="1">
      <c r="B794" s="1359" t="s">
        <v>364</v>
      </c>
      <c r="C794" s="1360"/>
      <c r="D794" s="1360"/>
      <c r="E794" s="1360"/>
      <c r="F794" s="1044"/>
      <c r="G794" s="1229">
        <f>G783+G793+G779</f>
        <v>2</v>
      </c>
      <c r="H794" s="1230"/>
      <c r="I794" s="480"/>
      <c r="J794" s="1018"/>
      <c r="K794" s="380"/>
      <c r="L794" s="774"/>
      <c r="M794" s="775"/>
      <c r="N794" s="775"/>
      <c r="O794" s="775"/>
      <c r="P794" s="775"/>
      <c r="Q794" s="775"/>
      <c r="R794" s="775"/>
      <c r="S794" s="775"/>
      <c r="T794" s="775"/>
    </row>
    <row r="795" spans="2:20" ht="19.5" customHeight="1">
      <c r="B795" s="1359" t="s">
        <v>367</v>
      </c>
      <c r="C795" s="1360"/>
      <c r="D795" s="1360"/>
      <c r="E795" s="1360"/>
      <c r="F795" s="1044"/>
      <c r="G795" s="1229">
        <f>ROUNDUP(G794/27,0)</f>
        <v>1</v>
      </c>
      <c r="H795" s="1230"/>
      <c r="I795" s="480"/>
      <c r="J795" s="1018"/>
      <c r="K795" s="380"/>
      <c r="L795" s="774"/>
      <c r="M795" s="775"/>
      <c r="N795" s="775"/>
      <c r="O795" s="775"/>
      <c r="P795" s="775"/>
      <c r="Q795" s="775"/>
      <c r="R795" s="775"/>
      <c r="S795" s="775"/>
      <c r="T795" s="775"/>
    </row>
    <row r="796" spans="2:20" ht="19.5" customHeight="1">
      <c r="B796" s="1359" t="s">
        <v>365</v>
      </c>
      <c r="C796" s="1360"/>
      <c r="D796" s="1360"/>
      <c r="E796" s="1360"/>
      <c r="F796" s="1044"/>
      <c r="G796" s="1248" t="str">
        <f>IF(L796=TRUE,"最終行","最終以外")</f>
        <v>最終以外</v>
      </c>
      <c r="H796" s="1249"/>
      <c r="I796" s="1250"/>
      <c r="J796" s="1061" t="s">
        <v>43</v>
      </c>
      <c r="K796" s="1062"/>
      <c r="L796" s="815" t="b">
        <f>OR(G794=27,G794=54,G794=81,G794=108,G794=135)</f>
        <v>0</v>
      </c>
      <c r="M796" s="813"/>
      <c r="N796" s="814"/>
      <c r="O796" s="775"/>
      <c r="P796" s="775"/>
      <c r="Q796" s="775"/>
      <c r="R796" s="775"/>
      <c r="S796" s="775"/>
      <c r="T796" s="775"/>
    </row>
    <row r="797" spans="2:20" ht="19.5" customHeight="1" thickBot="1">
      <c r="B797" s="1359" t="s">
        <v>366</v>
      </c>
      <c r="C797" s="1360"/>
      <c r="D797" s="1360"/>
      <c r="E797" s="1360"/>
      <c r="F797" s="1044"/>
      <c r="G797" s="1229">
        <f>IF(L796=TRUE,0,1)</f>
        <v>1</v>
      </c>
      <c r="H797" s="1230"/>
      <c r="I797" s="820"/>
      <c r="J797" s="1063" t="s">
        <v>54</v>
      </c>
      <c r="K797" s="1064"/>
      <c r="L797" s="1064"/>
      <c r="M797" s="1064"/>
      <c r="N797" s="1064"/>
      <c r="O797" s="775"/>
      <c r="P797" s="775"/>
      <c r="Q797" s="775"/>
      <c r="R797" s="775"/>
      <c r="S797" s="775"/>
      <c r="T797" s="775"/>
    </row>
    <row r="798" spans="2:20" ht="21" customHeight="1" thickBot="1" thickTop="1">
      <c r="B798" s="1958" t="s">
        <v>164</v>
      </c>
      <c r="C798" s="1959"/>
      <c r="D798" s="1959"/>
      <c r="E798" s="1959"/>
      <c r="F798" s="1960"/>
      <c r="G798" s="1961">
        <f>IF(J520-G779-G797&lt;0,0,J520-G779-G797)</f>
        <v>130</v>
      </c>
      <c r="H798" s="1087"/>
      <c r="I798" s="789" t="s">
        <v>453</v>
      </c>
      <c r="L798" s="194"/>
      <c r="M798" s="195"/>
      <c r="N798" s="195"/>
      <c r="O798" s="196"/>
      <c r="P798" s="197"/>
      <c r="Q798" s="193"/>
      <c r="R798" s="193"/>
      <c r="S798" s="193"/>
      <c r="T798" s="193"/>
    </row>
    <row r="799" spans="2:20" ht="19.5" customHeight="1" thickBot="1" thickTop="1">
      <c r="B799" s="374" t="s">
        <v>310</v>
      </c>
      <c r="C799" s="375"/>
      <c r="D799" s="375"/>
      <c r="E799" s="375"/>
      <c r="F799" s="375"/>
      <c r="G799" s="375"/>
      <c r="H799" s="375"/>
      <c r="I799" s="375"/>
      <c r="J799" s="1087">
        <f>IF(G798-G1072&lt;0,0,G798-G1072)</f>
        <v>130</v>
      </c>
      <c r="K799" s="1087"/>
      <c r="L799" s="913" t="s">
        <v>325</v>
      </c>
      <c r="M799" s="835"/>
      <c r="N799" s="835"/>
      <c r="O799" s="835"/>
      <c r="P799" s="835"/>
      <c r="Q799" s="380"/>
      <c r="R799" s="380"/>
      <c r="S799" s="380"/>
      <c r="T799" s="380"/>
    </row>
    <row r="800" spans="2:20" ht="19.5" customHeight="1" thickTop="1">
      <c r="B800" s="1348" t="s">
        <v>127</v>
      </c>
      <c r="C800" s="1346" t="s">
        <v>443</v>
      </c>
      <c r="D800" s="1747" t="s">
        <v>437</v>
      </c>
      <c r="E800" s="1748"/>
      <c r="F800" s="1749"/>
      <c r="G800" s="1352">
        <f>G798*L800</f>
        <v>1560</v>
      </c>
      <c r="H800" s="1353"/>
      <c r="I800" s="916" t="s">
        <v>452</v>
      </c>
      <c r="J800" s="1089" t="s">
        <v>351</v>
      </c>
      <c r="K800" s="1088">
        <f ca="1">CELL("row",'記入シート'!C412)</f>
        <v>412</v>
      </c>
      <c r="L800" s="1070">
        <f>$L$10</f>
        <v>12</v>
      </c>
      <c r="M800" s="1072">
        <f>G808/L800</f>
        <v>130</v>
      </c>
      <c r="N800" s="1910" t="s">
        <v>444</v>
      </c>
      <c r="O800" s="1750">
        <f>G1058-G805+G1076</f>
        <v>1</v>
      </c>
      <c r="P800" s="1751" t="s">
        <v>453</v>
      </c>
      <c r="Q800" s="1361" t="str">
        <f>IF(G1061="OVER","＃４は超過につき表示不可",IF(G802=0,REPT("　",(G1058+G1076)*L800),IF(G811="OVER",CONCATENATE(REPT("　",G1072*L800),"※　文字数が多過ぎます　※"),CONCATENATE(REPT("　",G1072*L800),"＃４　",'記入シート'!C412,REPT("　",O802),))))</f>
        <v>　　　　　　　　　　　　</v>
      </c>
      <c r="R800" s="1362"/>
      <c r="S800" s="1363"/>
      <c r="T800" s="381"/>
    </row>
    <row r="801" spans="2:20" ht="19.5" customHeight="1">
      <c r="B801" s="1304"/>
      <c r="C801" s="1346"/>
      <c r="D801" s="917" t="s">
        <v>141</v>
      </c>
      <c r="E801" s="918"/>
      <c r="F801" s="919"/>
      <c r="G801" s="1436">
        <f>IF(G800&gt;3,G800-3,0)</f>
        <v>1557</v>
      </c>
      <c r="H801" s="1437"/>
      <c r="I801" s="920" t="s">
        <v>452</v>
      </c>
      <c r="J801" s="1089"/>
      <c r="K801" s="1096"/>
      <c r="L801" s="1070"/>
      <c r="M801" s="1081"/>
      <c r="N801" s="1616"/>
      <c r="O801" s="1613"/>
      <c r="P801" s="1584"/>
      <c r="Q801" s="1364"/>
      <c r="R801" s="1365"/>
      <c r="S801" s="1366"/>
      <c r="T801" s="381"/>
    </row>
    <row r="802" spans="2:106" s="186" customFormat="1" ht="19.5" customHeight="1">
      <c r="B802" s="1304"/>
      <c r="C802" s="1346"/>
      <c r="D802" s="1738" t="s">
        <v>177</v>
      </c>
      <c r="E802" s="1739"/>
      <c r="F802" s="1740"/>
      <c r="G802" s="1436">
        <f>LEN('記入シート'!C412)</f>
        <v>0</v>
      </c>
      <c r="H802" s="1437"/>
      <c r="I802" s="920" t="s">
        <v>452</v>
      </c>
      <c r="J802" s="1089"/>
      <c r="K802" s="1096"/>
      <c r="L802" s="1070"/>
      <c r="M802" s="1081"/>
      <c r="N802" s="579" t="s">
        <v>445</v>
      </c>
      <c r="O802" s="580">
        <f>ABS(G806)+O800*$L$10</f>
        <v>12</v>
      </c>
      <c r="P802" s="581" t="s">
        <v>452</v>
      </c>
      <c r="Q802" s="1364"/>
      <c r="R802" s="1365"/>
      <c r="S802" s="1366"/>
      <c r="T802" s="381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</row>
    <row r="803" spans="2:106" s="186" customFormat="1" ht="19.5" customHeight="1">
      <c r="B803" s="1304"/>
      <c r="C803" s="1346"/>
      <c r="D803" s="1738" t="s">
        <v>167</v>
      </c>
      <c r="E803" s="1739"/>
      <c r="F803" s="1740"/>
      <c r="G803" s="1354" t="str">
        <f>IF(H801&gt;G800,"OVER","INSIDE")</f>
        <v>INSIDE</v>
      </c>
      <c r="H803" s="1355"/>
      <c r="I803" s="1356"/>
      <c r="J803" s="1089"/>
      <c r="K803" s="1096"/>
      <c r="L803" s="1070"/>
      <c r="M803" s="1081"/>
      <c r="N803" s="582"/>
      <c r="O803" s="583"/>
      <c r="P803" s="584"/>
      <c r="Q803" s="1364"/>
      <c r="R803" s="1365"/>
      <c r="S803" s="1366"/>
      <c r="T803" s="381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</row>
    <row r="804" spans="2:106" s="186" customFormat="1" ht="19.5" customHeight="1">
      <c r="B804" s="1304"/>
      <c r="C804" s="1346"/>
      <c r="D804" s="575" t="s">
        <v>182</v>
      </c>
      <c r="E804" s="576"/>
      <c r="F804" s="577"/>
      <c r="G804" s="1222">
        <f>IF(G802=0,0,IF(G803="OVER",0,G802+3))</f>
        <v>0</v>
      </c>
      <c r="H804" s="1223"/>
      <c r="I804" s="578" t="s">
        <v>452</v>
      </c>
      <c r="J804" s="1089"/>
      <c r="K804" s="1096"/>
      <c r="L804" s="1070"/>
      <c r="M804" s="1081"/>
      <c r="N804" s="585"/>
      <c r="O804" s="586"/>
      <c r="P804" s="587"/>
      <c r="Q804" s="1364"/>
      <c r="R804" s="1365"/>
      <c r="S804" s="1366"/>
      <c r="T804" s="381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</row>
    <row r="805" spans="2:106" s="186" customFormat="1" ht="19.5" customHeight="1">
      <c r="B805" s="1304"/>
      <c r="C805" s="1346"/>
      <c r="D805" s="1741" t="s">
        <v>451</v>
      </c>
      <c r="E805" s="1742"/>
      <c r="F805" s="1743"/>
      <c r="G805" s="1222">
        <f>ROUNDUP(G804/$L$10,0)</f>
        <v>0</v>
      </c>
      <c r="H805" s="1223"/>
      <c r="I805" s="578" t="s">
        <v>453</v>
      </c>
      <c r="J805" s="1089"/>
      <c r="K805" s="1096"/>
      <c r="L805" s="1070"/>
      <c r="M805" s="1081"/>
      <c r="N805" s="585"/>
      <c r="O805" s="586"/>
      <c r="P805" s="587"/>
      <c r="Q805" s="1364"/>
      <c r="R805" s="1365"/>
      <c r="S805" s="1366"/>
      <c r="T805" s="381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</row>
    <row r="806" spans="2:20" ht="19.5" customHeight="1">
      <c r="B806" s="1304"/>
      <c r="C806" s="1346"/>
      <c r="D806" s="1741" t="s">
        <v>419</v>
      </c>
      <c r="E806" s="1742"/>
      <c r="F806" s="1743"/>
      <c r="G806" s="1222">
        <f>G804-G805*L800</f>
        <v>0</v>
      </c>
      <c r="H806" s="1223"/>
      <c r="I806" s="578" t="s">
        <v>452</v>
      </c>
      <c r="J806" s="1089"/>
      <c r="K806" s="1096"/>
      <c r="L806" s="1070"/>
      <c r="M806" s="1081"/>
      <c r="N806" s="585"/>
      <c r="O806" s="586"/>
      <c r="P806" s="587"/>
      <c r="Q806" s="1364"/>
      <c r="R806" s="1365"/>
      <c r="S806" s="1366"/>
      <c r="T806" s="381"/>
    </row>
    <row r="807" spans="2:20" ht="19.5" customHeight="1" thickBot="1">
      <c r="B807" s="1304"/>
      <c r="C807" s="1346"/>
      <c r="D807" s="1744" t="s">
        <v>423</v>
      </c>
      <c r="E807" s="1745"/>
      <c r="F807" s="1746"/>
      <c r="G807" s="1316">
        <f>G805*$L$10</f>
        <v>0</v>
      </c>
      <c r="H807" s="1317"/>
      <c r="I807" s="593" t="s">
        <v>452</v>
      </c>
      <c r="J807" s="1089"/>
      <c r="K807" s="1096"/>
      <c r="L807" s="1070"/>
      <c r="M807" s="1081"/>
      <c r="N807" s="585"/>
      <c r="O807" s="586"/>
      <c r="P807" s="587"/>
      <c r="Q807" s="1364"/>
      <c r="R807" s="1365"/>
      <c r="S807" s="1366"/>
      <c r="T807" s="381"/>
    </row>
    <row r="808" spans="2:20" ht="19.5" customHeight="1">
      <c r="B808" s="1304"/>
      <c r="C808" s="1345" t="s">
        <v>332</v>
      </c>
      <c r="D808" s="588" t="s">
        <v>329</v>
      </c>
      <c r="E808" s="589"/>
      <c r="F808" s="590"/>
      <c r="G808" s="1318">
        <f>J799*L800</f>
        <v>1560</v>
      </c>
      <c r="H808" s="1319"/>
      <c r="I808" s="590" t="s">
        <v>452</v>
      </c>
      <c r="J808" s="1089"/>
      <c r="K808" s="1096"/>
      <c r="L808" s="1070"/>
      <c r="M808" s="1081"/>
      <c r="N808" s="585"/>
      <c r="O808" s="586"/>
      <c r="P808" s="587"/>
      <c r="Q808" s="1364"/>
      <c r="R808" s="1365"/>
      <c r="S808" s="1366"/>
      <c r="T808" s="381"/>
    </row>
    <row r="809" spans="2:20" ht="19.5" customHeight="1">
      <c r="B809" s="1304"/>
      <c r="C809" s="1346"/>
      <c r="D809" s="591" t="s">
        <v>314</v>
      </c>
      <c r="E809" s="375"/>
      <c r="F809" s="578"/>
      <c r="G809" s="1206">
        <f>IF(G808&gt;3,G808-3,0)</f>
        <v>1557</v>
      </c>
      <c r="H809" s="1207"/>
      <c r="I809" s="797" t="s">
        <v>452</v>
      </c>
      <c r="J809" s="1089"/>
      <c r="K809" s="1096"/>
      <c r="L809" s="1070"/>
      <c r="M809" s="1081"/>
      <c r="N809" s="585"/>
      <c r="O809" s="586"/>
      <c r="P809" s="587"/>
      <c r="Q809" s="1364"/>
      <c r="R809" s="1365"/>
      <c r="S809" s="1366"/>
      <c r="T809" s="381"/>
    </row>
    <row r="810" spans="2:20" ht="19.5" customHeight="1">
      <c r="B810" s="1304"/>
      <c r="C810" s="1346"/>
      <c r="D810" s="591" t="s">
        <v>315</v>
      </c>
      <c r="E810" s="375"/>
      <c r="F810" s="578"/>
      <c r="G810" s="1316">
        <f>LEN('記入シート'!C412)</f>
        <v>0</v>
      </c>
      <c r="H810" s="1317"/>
      <c r="I810" s="592" t="s">
        <v>452</v>
      </c>
      <c r="J810" s="1089"/>
      <c r="K810" s="1096"/>
      <c r="L810" s="1070"/>
      <c r="M810" s="1081"/>
      <c r="N810" s="585"/>
      <c r="O810" s="586"/>
      <c r="P810" s="587"/>
      <c r="Q810" s="1364"/>
      <c r="R810" s="1365"/>
      <c r="S810" s="1366"/>
      <c r="T810" s="381"/>
    </row>
    <row r="811" spans="2:20" ht="19.5" customHeight="1" thickBot="1">
      <c r="B811" s="1310"/>
      <c r="C811" s="1347"/>
      <c r="D811" s="911" t="s">
        <v>167</v>
      </c>
      <c r="E811" s="623"/>
      <c r="F811" s="912"/>
      <c r="G811" s="1502" t="str">
        <f>IF(G810&gt;G809,"OVER","INSIDE")</f>
        <v>INSIDE</v>
      </c>
      <c r="H811" s="1503"/>
      <c r="I811" s="1504"/>
      <c r="J811" s="1082"/>
      <c r="K811" s="1086"/>
      <c r="L811" s="1071"/>
      <c r="M811" s="1078"/>
      <c r="N811" s="594"/>
      <c r="O811" s="595"/>
      <c r="P811" s="596"/>
      <c r="Q811" s="1367"/>
      <c r="R811" s="1368"/>
      <c r="S811" s="1369"/>
      <c r="T811" s="381"/>
    </row>
    <row r="812" spans="2:20" ht="19.5" customHeight="1">
      <c r="B812" s="1308" t="s">
        <v>127</v>
      </c>
      <c r="C812" s="1349" t="s">
        <v>417</v>
      </c>
      <c r="D812" s="921" t="s">
        <v>437</v>
      </c>
      <c r="E812" s="922"/>
      <c r="F812" s="923"/>
      <c r="G812" s="1736">
        <f>G798*L812</f>
        <v>1300</v>
      </c>
      <c r="H812" s="1737"/>
      <c r="I812" s="923" t="s">
        <v>452</v>
      </c>
      <c r="J812" s="1313" t="s">
        <v>351</v>
      </c>
      <c r="K812" s="1095">
        <f ca="1">CELL("row",'記入シート'!C418)</f>
        <v>418</v>
      </c>
      <c r="L812" s="1326">
        <f>$L$18</f>
        <v>10</v>
      </c>
      <c r="M812" s="1083">
        <f>M800</f>
        <v>130</v>
      </c>
      <c r="N812" s="1327" t="s">
        <v>444</v>
      </c>
      <c r="O812" s="1329">
        <f>G1058-G816+G1076</f>
        <v>1</v>
      </c>
      <c r="P812" s="1331" t="s">
        <v>453</v>
      </c>
      <c r="Q812" s="1339" t="str">
        <f>IF(G1061="OVER","＃４は超過で表示不可",IF(G813=0,REPT("　",(G1058+G1076)*L812),IF(G821="OVER",CONCATENATE(REPT("　",G1072*L812),"＃４は文字数過多です"),CONCATENATE(REPT("　",G1072*L812),'記入シート'!C418,REPT("　",O814)))))</f>
        <v>　　　　　　　　　　</v>
      </c>
      <c r="R812" s="1340"/>
      <c r="S812" s="193"/>
      <c r="T812" s="193"/>
    </row>
    <row r="813" spans="2:20" ht="19.5" customHeight="1">
      <c r="B813" s="1304"/>
      <c r="C813" s="1350"/>
      <c r="D813" s="924" t="s">
        <v>438</v>
      </c>
      <c r="E813" s="925"/>
      <c r="F813" s="926"/>
      <c r="G813" s="1436">
        <f>LEN('記入シート'!C418)</f>
        <v>0</v>
      </c>
      <c r="H813" s="1437"/>
      <c r="I813" s="920" t="s">
        <v>452</v>
      </c>
      <c r="J813" s="1089"/>
      <c r="K813" s="1096"/>
      <c r="L813" s="1070"/>
      <c r="M813" s="1081"/>
      <c r="N813" s="1735"/>
      <c r="O813" s="1613"/>
      <c r="P813" s="1584"/>
      <c r="Q813" s="1341"/>
      <c r="R813" s="1342"/>
      <c r="S813" s="193"/>
      <c r="T813" s="193"/>
    </row>
    <row r="814" spans="2:20" ht="19.5" customHeight="1">
      <c r="B814" s="1304"/>
      <c r="C814" s="1350"/>
      <c r="D814" s="917" t="s">
        <v>167</v>
      </c>
      <c r="E814" s="925"/>
      <c r="F814" s="926"/>
      <c r="G814" s="1354" t="str">
        <f>IF(G813&gt;G812,"OVER","INSIDE")</f>
        <v>INSIDE</v>
      </c>
      <c r="H814" s="1355"/>
      <c r="I814" s="1356"/>
      <c r="J814" s="1089"/>
      <c r="K814" s="1096"/>
      <c r="L814" s="1070"/>
      <c r="M814" s="1081"/>
      <c r="N814" s="579" t="s">
        <v>445</v>
      </c>
      <c r="O814" s="580">
        <f>ABS(G817)+O812*$L$18</f>
        <v>10</v>
      </c>
      <c r="P814" s="581" t="s">
        <v>452</v>
      </c>
      <c r="Q814" s="1341"/>
      <c r="R814" s="1342"/>
      <c r="S814" s="193"/>
      <c r="T814" s="193"/>
    </row>
    <row r="815" spans="2:20" ht="19.5" customHeight="1">
      <c r="B815" s="1304"/>
      <c r="C815" s="1350"/>
      <c r="D815" s="917" t="s">
        <v>170</v>
      </c>
      <c r="E815" s="925"/>
      <c r="F815" s="926"/>
      <c r="G815" s="1436">
        <f>IF(G814="OVER",0,G813)</f>
        <v>0</v>
      </c>
      <c r="H815" s="1437"/>
      <c r="I815" s="920" t="s">
        <v>452</v>
      </c>
      <c r="J815" s="1089"/>
      <c r="K815" s="1096"/>
      <c r="L815" s="1070"/>
      <c r="M815" s="1081"/>
      <c r="N815" s="585"/>
      <c r="O815" s="586"/>
      <c r="P815" s="587"/>
      <c r="Q815" s="1341"/>
      <c r="R815" s="1342"/>
      <c r="S815" s="193"/>
      <c r="T815" s="193"/>
    </row>
    <row r="816" spans="2:20" ht="19.5" customHeight="1">
      <c r="B816" s="1304"/>
      <c r="C816" s="1350"/>
      <c r="D816" s="591" t="s">
        <v>451</v>
      </c>
      <c r="E816" s="375"/>
      <c r="F816" s="592"/>
      <c r="G816" s="1222">
        <f>ROUNDUP(G815/$L$18,0)</f>
        <v>0</v>
      </c>
      <c r="H816" s="1223"/>
      <c r="I816" s="578" t="s">
        <v>453</v>
      </c>
      <c r="J816" s="1089"/>
      <c r="K816" s="1096"/>
      <c r="L816" s="1070"/>
      <c r="M816" s="1081"/>
      <c r="N816" s="585"/>
      <c r="O816" s="586"/>
      <c r="P816" s="587"/>
      <c r="Q816" s="1341"/>
      <c r="R816" s="1342"/>
      <c r="S816" s="193"/>
      <c r="T816" s="193"/>
    </row>
    <row r="817" spans="2:20" ht="19.5" customHeight="1">
      <c r="B817" s="1304"/>
      <c r="C817" s="1350"/>
      <c r="D817" s="591" t="s">
        <v>439</v>
      </c>
      <c r="E817" s="375"/>
      <c r="F817" s="578"/>
      <c r="G817" s="1222">
        <f>G815-G816*$L$18</f>
        <v>0</v>
      </c>
      <c r="H817" s="1223"/>
      <c r="I817" s="578" t="s">
        <v>452</v>
      </c>
      <c r="J817" s="1089"/>
      <c r="K817" s="1096"/>
      <c r="L817" s="1070"/>
      <c r="M817" s="1081"/>
      <c r="N817" s="585"/>
      <c r="O817" s="586"/>
      <c r="P817" s="587"/>
      <c r="Q817" s="1341"/>
      <c r="R817" s="1342"/>
      <c r="S817" s="193"/>
      <c r="T817" s="193"/>
    </row>
    <row r="818" spans="2:20" ht="19.5" customHeight="1" thickBot="1">
      <c r="B818" s="1304"/>
      <c r="C818" s="1350"/>
      <c r="D818" s="597" t="s">
        <v>440</v>
      </c>
      <c r="E818" s="598"/>
      <c r="F818" s="593"/>
      <c r="G818" s="1316">
        <f>G816*$L$18</f>
        <v>0</v>
      </c>
      <c r="H818" s="1317"/>
      <c r="I818" s="593" t="s">
        <v>452</v>
      </c>
      <c r="J818" s="1089"/>
      <c r="K818" s="1096"/>
      <c r="L818" s="1070"/>
      <c r="M818" s="1081"/>
      <c r="N818" s="585"/>
      <c r="O818" s="586"/>
      <c r="P818" s="587"/>
      <c r="Q818" s="1341"/>
      <c r="R818" s="1342"/>
      <c r="S818" s="193"/>
      <c r="T818" s="193"/>
    </row>
    <row r="819" spans="2:20" ht="19.5" customHeight="1">
      <c r="B819" s="1304"/>
      <c r="C819" s="1349" t="s">
        <v>332</v>
      </c>
      <c r="D819" s="588" t="s">
        <v>437</v>
      </c>
      <c r="E819" s="589"/>
      <c r="F819" s="590"/>
      <c r="G819" s="1246">
        <f>J799*L812</f>
        <v>1300</v>
      </c>
      <c r="H819" s="1247"/>
      <c r="I819" s="795" t="s">
        <v>452</v>
      </c>
      <c r="J819" s="1089"/>
      <c r="K819" s="1096"/>
      <c r="L819" s="1070"/>
      <c r="M819" s="1081"/>
      <c r="N819" s="585"/>
      <c r="O819" s="586"/>
      <c r="P819" s="587"/>
      <c r="Q819" s="1341"/>
      <c r="R819" s="1342"/>
      <c r="S819" s="193"/>
      <c r="T819" s="193"/>
    </row>
    <row r="820" spans="2:20" ht="19.5" customHeight="1">
      <c r="B820" s="1304"/>
      <c r="C820" s="1350"/>
      <c r="D820" s="591" t="s">
        <v>438</v>
      </c>
      <c r="E820" s="375"/>
      <c r="F820" s="578"/>
      <c r="G820" s="1222">
        <f>LEN('記入シート'!C418)</f>
        <v>0</v>
      </c>
      <c r="H820" s="1223"/>
      <c r="I820" s="578" t="s">
        <v>452</v>
      </c>
      <c r="J820" s="1089"/>
      <c r="K820" s="1096"/>
      <c r="L820" s="1070"/>
      <c r="M820" s="1081"/>
      <c r="N820" s="585"/>
      <c r="O820" s="586"/>
      <c r="P820" s="587"/>
      <c r="Q820" s="1341"/>
      <c r="R820" s="1342"/>
      <c r="S820" s="193"/>
      <c r="T820" s="193"/>
    </row>
    <row r="821" spans="2:20" ht="19.5" customHeight="1">
      <c r="B821" s="1304"/>
      <c r="C821" s="1350"/>
      <c r="D821" s="575" t="s">
        <v>167</v>
      </c>
      <c r="E821" s="375"/>
      <c r="F821" s="578"/>
      <c r="G821" s="1336" t="str">
        <f>IF(G820&gt;G819,"OVER","INSIDE")</f>
        <v>INSIDE</v>
      </c>
      <c r="H821" s="1337"/>
      <c r="I821" s="1338"/>
      <c r="J821" s="1089"/>
      <c r="K821" s="1096"/>
      <c r="L821" s="1070"/>
      <c r="M821" s="1081"/>
      <c r="N821" s="585"/>
      <c r="O821" s="586"/>
      <c r="P821" s="587"/>
      <c r="Q821" s="1341"/>
      <c r="R821" s="1342"/>
      <c r="S821" s="193"/>
      <c r="T821" s="193"/>
    </row>
    <row r="822" spans="2:20" ht="19.5" customHeight="1" thickBot="1">
      <c r="B822" s="1310"/>
      <c r="C822" s="1351"/>
      <c r="D822" s="575" t="s">
        <v>170</v>
      </c>
      <c r="E822" s="879"/>
      <c r="F822" s="607"/>
      <c r="G822" s="1222">
        <f>IF(G821="OVER",0,G820)</f>
        <v>0</v>
      </c>
      <c r="H822" s="1223"/>
      <c r="I822" s="578" t="s">
        <v>452</v>
      </c>
      <c r="J822" s="1082"/>
      <c r="K822" s="1086"/>
      <c r="L822" s="1071"/>
      <c r="M822" s="1078"/>
      <c r="N822" s="594"/>
      <c r="O822" s="595"/>
      <c r="P822" s="596"/>
      <c r="Q822" s="1343"/>
      <c r="R822" s="1344"/>
      <c r="S822" s="193"/>
      <c r="T822" s="193"/>
    </row>
    <row r="823" spans="2:20" ht="19.5" customHeight="1">
      <c r="B823" s="1308" t="s">
        <v>128</v>
      </c>
      <c r="C823" s="1333" t="s">
        <v>418</v>
      </c>
      <c r="D823" s="921" t="s">
        <v>437</v>
      </c>
      <c r="E823" s="922"/>
      <c r="F823" s="923"/>
      <c r="G823" s="1736">
        <f>G798*L823</f>
        <v>1300</v>
      </c>
      <c r="H823" s="1737"/>
      <c r="I823" s="923" t="s">
        <v>452</v>
      </c>
      <c r="J823" s="1313" t="s">
        <v>351</v>
      </c>
      <c r="K823" s="1095">
        <f ca="1">CELL("row",'記入シート'!C424)</f>
        <v>424</v>
      </c>
      <c r="L823" s="1326">
        <f>$L$25</f>
        <v>10</v>
      </c>
      <c r="M823" s="1083">
        <f>M800</f>
        <v>130</v>
      </c>
      <c r="N823" s="1327" t="s">
        <v>444</v>
      </c>
      <c r="O823" s="1329">
        <f>G1058-G827+G1076</f>
        <v>1</v>
      </c>
      <c r="P823" s="1331" t="s">
        <v>453</v>
      </c>
      <c r="Q823" s="1320" t="str">
        <f>IF(G1061="OVER","＃４は超過で表示不可",IF(G824=0,REPT("　",(G1058+G1076)*L823),IF(G832="OVER",CONCATENATE(REPT("　",G1072*L823),"＃４は文字数過多です"),CONCATENATE(REPT("　",G1072*L823),'記入シート'!C424,REPT("　",O825)))))</f>
        <v>　　　　　　　　　　</v>
      </c>
      <c r="R823" s="1321"/>
      <c r="S823" s="193"/>
      <c r="T823" s="193"/>
    </row>
    <row r="824" spans="2:20" ht="19.5" customHeight="1">
      <c r="B824" s="1304"/>
      <c r="C824" s="1334"/>
      <c r="D824" s="924" t="s">
        <v>438</v>
      </c>
      <c r="E824" s="925"/>
      <c r="F824" s="926"/>
      <c r="G824" s="1436">
        <f>LEN('記入シート'!C424)</f>
        <v>0</v>
      </c>
      <c r="H824" s="1437"/>
      <c r="I824" s="920" t="s">
        <v>452</v>
      </c>
      <c r="J824" s="1089"/>
      <c r="K824" s="1096"/>
      <c r="L824" s="1070"/>
      <c r="M824" s="1081"/>
      <c r="N824" s="1735"/>
      <c r="O824" s="1613"/>
      <c r="P824" s="1584"/>
      <c r="Q824" s="1322"/>
      <c r="R824" s="1323"/>
      <c r="S824" s="193"/>
      <c r="T824" s="193"/>
    </row>
    <row r="825" spans="2:20" ht="19.5" customHeight="1">
      <c r="B825" s="1304"/>
      <c r="C825" s="1334"/>
      <c r="D825" s="917" t="s">
        <v>167</v>
      </c>
      <c r="E825" s="925"/>
      <c r="F825" s="926"/>
      <c r="G825" s="1354" t="str">
        <f>IF(G824&gt;G823,"OVER","INSIDE")</f>
        <v>INSIDE</v>
      </c>
      <c r="H825" s="1355"/>
      <c r="I825" s="1356"/>
      <c r="J825" s="1089"/>
      <c r="K825" s="1096"/>
      <c r="L825" s="1070"/>
      <c r="M825" s="1081"/>
      <c r="N825" s="579" t="s">
        <v>445</v>
      </c>
      <c r="O825" s="580">
        <f>ABS(G828)+O823*L823</f>
        <v>10</v>
      </c>
      <c r="P825" s="581" t="s">
        <v>452</v>
      </c>
      <c r="Q825" s="1322"/>
      <c r="R825" s="1323"/>
      <c r="S825" s="193"/>
      <c r="T825" s="193"/>
    </row>
    <row r="826" spans="2:20" ht="19.5" customHeight="1">
      <c r="B826" s="1304"/>
      <c r="C826" s="1334"/>
      <c r="D826" s="917" t="s">
        <v>170</v>
      </c>
      <c r="E826" s="925"/>
      <c r="F826" s="926"/>
      <c r="G826" s="1436">
        <f>IF(G825="OVER",0,G824)</f>
        <v>0</v>
      </c>
      <c r="H826" s="1437"/>
      <c r="I826" s="920" t="s">
        <v>452</v>
      </c>
      <c r="J826" s="1089"/>
      <c r="K826" s="1096"/>
      <c r="L826" s="1070"/>
      <c r="M826" s="1081"/>
      <c r="N826" s="582"/>
      <c r="O826" s="583"/>
      <c r="P826" s="584"/>
      <c r="Q826" s="1322"/>
      <c r="R826" s="1323"/>
      <c r="S826" s="193"/>
      <c r="T826" s="193"/>
    </row>
    <row r="827" spans="2:20" ht="19.5" customHeight="1">
      <c r="B827" s="1304"/>
      <c r="C827" s="1334"/>
      <c r="D827" s="591" t="s">
        <v>451</v>
      </c>
      <c r="E827" s="375"/>
      <c r="F827" s="592"/>
      <c r="G827" s="1222">
        <f>ROUNDUP(G826/L823,0)</f>
        <v>0</v>
      </c>
      <c r="H827" s="1223"/>
      <c r="I827" s="578" t="s">
        <v>453</v>
      </c>
      <c r="J827" s="1089"/>
      <c r="K827" s="1096"/>
      <c r="L827" s="1070"/>
      <c r="M827" s="1081"/>
      <c r="N827" s="585"/>
      <c r="O827" s="586"/>
      <c r="P827" s="587"/>
      <c r="Q827" s="1322"/>
      <c r="R827" s="1323"/>
      <c r="S827" s="193"/>
      <c r="T827" s="193"/>
    </row>
    <row r="828" spans="2:20" ht="19.5" customHeight="1">
      <c r="B828" s="1304"/>
      <c r="C828" s="1334"/>
      <c r="D828" s="591" t="s">
        <v>439</v>
      </c>
      <c r="E828" s="375"/>
      <c r="F828" s="578"/>
      <c r="G828" s="1222">
        <f>G826-G827*L823</f>
        <v>0</v>
      </c>
      <c r="H828" s="1223"/>
      <c r="I828" s="578" t="s">
        <v>452</v>
      </c>
      <c r="J828" s="1089"/>
      <c r="K828" s="1096"/>
      <c r="L828" s="1070"/>
      <c r="M828" s="1081"/>
      <c r="N828" s="585"/>
      <c r="O828" s="586"/>
      <c r="P828" s="587"/>
      <c r="Q828" s="1322"/>
      <c r="R828" s="1323"/>
      <c r="S828" s="193"/>
      <c r="T828" s="193"/>
    </row>
    <row r="829" spans="2:20" ht="19.5" customHeight="1" thickBot="1">
      <c r="B829" s="1304"/>
      <c r="C829" s="1334"/>
      <c r="D829" s="597" t="s">
        <v>440</v>
      </c>
      <c r="E829" s="598"/>
      <c r="F829" s="593"/>
      <c r="G829" s="1316">
        <f>G827*L823</f>
        <v>0</v>
      </c>
      <c r="H829" s="1317"/>
      <c r="I829" s="593" t="s">
        <v>452</v>
      </c>
      <c r="J829" s="1089"/>
      <c r="K829" s="1096"/>
      <c r="L829" s="1070"/>
      <c r="M829" s="1081"/>
      <c r="N829" s="585"/>
      <c r="O829" s="586"/>
      <c r="P829" s="587"/>
      <c r="Q829" s="1322"/>
      <c r="R829" s="1323"/>
      <c r="S829" s="193"/>
      <c r="T829" s="193"/>
    </row>
    <row r="830" spans="2:20" ht="19.5" customHeight="1">
      <c r="B830" s="1304"/>
      <c r="C830" s="1333" t="s">
        <v>332</v>
      </c>
      <c r="D830" s="588" t="s">
        <v>437</v>
      </c>
      <c r="E830" s="589"/>
      <c r="F830" s="590"/>
      <c r="G830" s="1246">
        <f>J799*L823</f>
        <v>1300</v>
      </c>
      <c r="H830" s="1247"/>
      <c r="I830" s="795" t="s">
        <v>452</v>
      </c>
      <c r="J830" s="1089"/>
      <c r="K830" s="1096"/>
      <c r="L830" s="1070"/>
      <c r="M830" s="1081"/>
      <c r="N830" s="585"/>
      <c r="O830" s="586"/>
      <c r="P830" s="587"/>
      <c r="Q830" s="1322"/>
      <c r="R830" s="1323"/>
      <c r="S830" s="193"/>
      <c r="T830" s="193"/>
    </row>
    <row r="831" spans="2:20" ht="19.5" customHeight="1">
      <c r="B831" s="1304"/>
      <c r="C831" s="1334"/>
      <c r="D831" s="591" t="s">
        <v>438</v>
      </c>
      <c r="E831" s="375"/>
      <c r="F831" s="578"/>
      <c r="G831" s="1222">
        <f>LEN('記入シート'!C424)</f>
        <v>0</v>
      </c>
      <c r="H831" s="1223"/>
      <c r="I831" s="578" t="s">
        <v>452</v>
      </c>
      <c r="J831" s="1089"/>
      <c r="K831" s="1096"/>
      <c r="L831" s="1070"/>
      <c r="M831" s="1081"/>
      <c r="N831" s="585"/>
      <c r="O831" s="586"/>
      <c r="P831" s="587"/>
      <c r="Q831" s="1322"/>
      <c r="R831" s="1323"/>
      <c r="S831" s="193"/>
      <c r="T831" s="193"/>
    </row>
    <row r="832" spans="2:20" ht="19.5" customHeight="1">
      <c r="B832" s="1304"/>
      <c r="C832" s="1334"/>
      <c r="D832" s="575" t="s">
        <v>167</v>
      </c>
      <c r="E832" s="375"/>
      <c r="F832" s="578"/>
      <c r="G832" s="1336" t="str">
        <f>IF(G831&gt;G830,"OVER","INSIDE")</f>
        <v>INSIDE</v>
      </c>
      <c r="H832" s="1337"/>
      <c r="I832" s="1338"/>
      <c r="J832" s="1089"/>
      <c r="K832" s="1096"/>
      <c r="L832" s="1070"/>
      <c r="M832" s="1081"/>
      <c r="N832" s="585"/>
      <c r="O832" s="586"/>
      <c r="P832" s="587"/>
      <c r="Q832" s="1322"/>
      <c r="R832" s="1323"/>
      <c r="S832" s="193"/>
      <c r="T832" s="193"/>
    </row>
    <row r="833" spans="2:20" ht="19.5" customHeight="1" thickBot="1">
      <c r="B833" s="1310"/>
      <c r="C833" s="1335"/>
      <c r="D833" s="575" t="s">
        <v>170</v>
      </c>
      <c r="E833" s="879"/>
      <c r="F833" s="607"/>
      <c r="G833" s="1222">
        <f>IF(G832="OVER",0,G831)</f>
        <v>0</v>
      </c>
      <c r="H833" s="1223"/>
      <c r="I833" s="578" t="s">
        <v>452</v>
      </c>
      <c r="J833" s="1082"/>
      <c r="K833" s="1086"/>
      <c r="L833" s="1071"/>
      <c r="M833" s="1078"/>
      <c r="N833" s="594"/>
      <c r="O833" s="595"/>
      <c r="P833" s="596"/>
      <c r="Q833" s="1324"/>
      <c r="R833" s="1325"/>
      <c r="S833" s="193"/>
      <c r="T833" s="193"/>
    </row>
    <row r="834" spans="2:20" ht="19.5" customHeight="1" thickTop="1">
      <c r="B834" s="1308" t="s">
        <v>129</v>
      </c>
      <c r="C834" s="1308" t="s">
        <v>400</v>
      </c>
      <c r="D834" s="1307" t="s">
        <v>472</v>
      </c>
      <c r="E834" s="928" t="s">
        <v>437</v>
      </c>
      <c r="F834" s="923"/>
      <c r="G834" s="1736">
        <f>G798*L834</f>
        <v>2470</v>
      </c>
      <c r="H834" s="1737"/>
      <c r="I834" s="923" t="s">
        <v>452</v>
      </c>
      <c r="J834" s="1313" t="s">
        <v>351</v>
      </c>
      <c r="K834" s="1095">
        <f ca="1">CELL("row",'記入シート'!C430)</f>
        <v>430</v>
      </c>
      <c r="L834" s="1326">
        <f>$L$32</f>
        <v>19</v>
      </c>
      <c r="M834" s="1083">
        <f>M800</f>
        <v>130</v>
      </c>
      <c r="N834" s="1327" t="s">
        <v>481</v>
      </c>
      <c r="O834" s="1329">
        <f>O861-G839</f>
        <v>0</v>
      </c>
      <c r="P834" s="1331" t="s">
        <v>453</v>
      </c>
      <c r="Q834" s="1263">
        <f>IF(G838=0,REPT("　",O834*L834),CONCATENATE("①　",'記入シート'!C430,REPT("　",O834*L834+ABS(G840))))</f>
      </c>
      <c r="R834" s="1264"/>
      <c r="S834" s="1264"/>
      <c r="T834" s="1265"/>
    </row>
    <row r="835" spans="2:20" ht="19.5" customHeight="1">
      <c r="B835" s="1304"/>
      <c r="C835" s="1304"/>
      <c r="D835" s="1303"/>
      <c r="E835" s="929" t="s">
        <v>138</v>
      </c>
      <c r="F835" s="926"/>
      <c r="G835" s="1436">
        <f>IF(G834&gt;2,G834-2,0)</f>
        <v>2468</v>
      </c>
      <c r="H835" s="1437"/>
      <c r="I835" s="926" t="s">
        <v>452</v>
      </c>
      <c r="J835" s="1089"/>
      <c r="K835" s="1096"/>
      <c r="L835" s="1070"/>
      <c r="M835" s="1081"/>
      <c r="N835" s="1328"/>
      <c r="O835" s="1330"/>
      <c r="P835" s="1332"/>
      <c r="Q835" s="1266"/>
      <c r="R835" s="1267"/>
      <c r="S835" s="1267"/>
      <c r="T835" s="1268"/>
    </row>
    <row r="836" spans="2:20" ht="19.5" customHeight="1">
      <c r="B836" s="1304"/>
      <c r="C836" s="1304"/>
      <c r="D836" s="1303"/>
      <c r="E836" s="929" t="s">
        <v>149</v>
      </c>
      <c r="F836" s="926"/>
      <c r="G836" s="1436">
        <f>LEN('記入シート'!C430)</f>
        <v>0</v>
      </c>
      <c r="H836" s="1437"/>
      <c r="I836" s="920" t="s">
        <v>452</v>
      </c>
      <c r="J836" s="1089"/>
      <c r="K836" s="1096"/>
      <c r="L836" s="1070"/>
      <c r="M836" s="1081"/>
      <c r="N836" s="1328"/>
      <c r="O836" s="1330"/>
      <c r="P836" s="1332"/>
      <c r="Q836" s="1266"/>
      <c r="R836" s="1267"/>
      <c r="S836" s="1267"/>
      <c r="T836" s="1268"/>
    </row>
    <row r="837" spans="2:20" ht="19.5" customHeight="1">
      <c r="B837" s="1304"/>
      <c r="C837" s="1304"/>
      <c r="D837" s="1303"/>
      <c r="E837" s="929" t="s">
        <v>167</v>
      </c>
      <c r="F837" s="926"/>
      <c r="G837" s="1354" t="str">
        <f>IF(G836&gt;G835,"OVER","INSIDE")</f>
        <v>INSIDE</v>
      </c>
      <c r="H837" s="1355"/>
      <c r="I837" s="1356"/>
      <c r="J837" s="1089"/>
      <c r="K837" s="1096"/>
      <c r="L837" s="1070"/>
      <c r="M837" s="1081"/>
      <c r="N837" s="602"/>
      <c r="O837" s="583"/>
      <c r="P837" s="584"/>
      <c r="Q837" s="1266"/>
      <c r="R837" s="1267"/>
      <c r="S837" s="1267"/>
      <c r="T837" s="1268"/>
    </row>
    <row r="838" spans="2:20" ht="19.5" customHeight="1">
      <c r="B838" s="1304"/>
      <c r="C838" s="1304"/>
      <c r="D838" s="1303"/>
      <c r="E838" s="600" t="s">
        <v>153</v>
      </c>
      <c r="F838" s="592"/>
      <c r="G838" s="1222">
        <f>IF(G836=0,0,IF(G837="OVER",0,G836+2))</f>
        <v>0</v>
      </c>
      <c r="H838" s="1223"/>
      <c r="I838" s="578" t="s">
        <v>452</v>
      </c>
      <c r="J838" s="1089"/>
      <c r="K838" s="1096"/>
      <c r="L838" s="1070"/>
      <c r="M838" s="1081"/>
      <c r="N838" s="603"/>
      <c r="O838" s="586"/>
      <c r="P838" s="587"/>
      <c r="Q838" s="1266"/>
      <c r="R838" s="1267"/>
      <c r="S838" s="1267"/>
      <c r="T838" s="1268"/>
    </row>
    <row r="839" spans="2:20" ht="19.5" customHeight="1">
      <c r="B839" s="1304"/>
      <c r="C839" s="1304"/>
      <c r="D839" s="1303"/>
      <c r="E839" s="604" t="s">
        <v>451</v>
      </c>
      <c r="F839" s="605"/>
      <c r="G839" s="1222">
        <f>ROUNDUP(G838/L834,0)</f>
        <v>0</v>
      </c>
      <c r="H839" s="1223"/>
      <c r="I839" s="578" t="s">
        <v>453</v>
      </c>
      <c r="J839" s="1089"/>
      <c r="K839" s="1096"/>
      <c r="L839" s="1070"/>
      <c r="M839" s="1081"/>
      <c r="N839" s="603"/>
      <c r="O839" s="586"/>
      <c r="P839" s="587"/>
      <c r="Q839" s="1266"/>
      <c r="R839" s="1267"/>
      <c r="S839" s="1267"/>
      <c r="T839" s="1268"/>
    </row>
    <row r="840" spans="2:20" ht="19.5" customHeight="1">
      <c r="B840" s="1304"/>
      <c r="C840" s="1304"/>
      <c r="D840" s="1303"/>
      <c r="E840" s="604" t="s">
        <v>419</v>
      </c>
      <c r="F840" s="605"/>
      <c r="G840" s="1222">
        <f>G838-G839*L834</f>
        <v>0</v>
      </c>
      <c r="H840" s="1223"/>
      <c r="I840" s="578" t="s">
        <v>452</v>
      </c>
      <c r="J840" s="1089"/>
      <c r="K840" s="1096"/>
      <c r="L840" s="1070"/>
      <c r="M840" s="1081"/>
      <c r="N840" s="603"/>
      <c r="O840" s="586"/>
      <c r="P840" s="587"/>
      <c r="Q840" s="1266"/>
      <c r="R840" s="1267"/>
      <c r="S840" s="1267"/>
      <c r="T840" s="1268"/>
    </row>
    <row r="841" spans="2:20" ht="19.5" customHeight="1" thickBot="1">
      <c r="B841" s="1304"/>
      <c r="C841" s="1304"/>
      <c r="D841" s="1303"/>
      <c r="E841" s="880" t="s">
        <v>423</v>
      </c>
      <c r="F841" s="613"/>
      <c r="G841" s="1316">
        <f>G839*L834</f>
        <v>0</v>
      </c>
      <c r="H841" s="1317"/>
      <c r="I841" s="593" t="s">
        <v>452</v>
      </c>
      <c r="J841" s="1089"/>
      <c r="K841" s="1096"/>
      <c r="L841" s="1070"/>
      <c r="M841" s="1081"/>
      <c r="N841" s="603"/>
      <c r="O841" s="586"/>
      <c r="P841" s="587"/>
      <c r="Q841" s="1266"/>
      <c r="R841" s="1267"/>
      <c r="S841" s="1267"/>
      <c r="T841" s="1268"/>
    </row>
    <row r="842" spans="2:20" ht="19.5" customHeight="1">
      <c r="B842" s="1304" t="s">
        <v>129</v>
      </c>
      <c r="C842" s="1308" t="s">
        <v>332</v>
      </c>
      <c r="D842" s="1307" t="s">
        <v>212</v>
      </c>
      <c r="E842" s="599" t="s">
        <v>437</v>
      </c>
      <c r="F842" s="590"/>
      <c r="G842" s="1318">
        <f>J799*L834</f>
        <v>2470</v>
      </c>
      <c r="H842" s="1319"/>
      <c r="I842" s="590" t="s">
        <v>452</v>
      </c>
      <c r="J842" s="1089"/>
      <c r="K842" s="1096"/>
      <c r="L842" s="1070"/>
      <c r="M842" s="1081"/>
      <c r="N842" s="603"/>
      <c r="O842" s="586"/>
      <c r="P842" s="587"/>
      <c r="Q842" s="1266"/>
      <c r="R842" s="1267"/>
      <c r="S842" s="1267"/>
      <c r="T842" s="1268"/>
    </row>
    <row r="843" spans="2:20" ht="19.5" customHeight="1">
      <c r="B843" s="1304"/>
      <c r="C843" s="1304"/>
      <c r="D843" s="1303"/>
      <c r="E843" s="658" t="s">
        <v>138</v>
      </c>
      <c r="F843" s="578"/>
      <c r="G843" s="1206">
        <f>IF(G842&gt;2,G842-2,0)</f>
        <v>2468</v>
      </c>
      <c r="H843" s="1207"/>
      <c r="I843" s="796" t="s">
        <v>452</v>
      </c>
      <c r="J843" s="1089"/>
      <c r="K843" s="1096"/>
      <c r="L843" s="1070"/>
      <c r="M843" s="1081"/>
      <c r="N843" s="603"/>
      <c r="O843" s="586"/>
      <c r="P843" s="587"/>
      <c r="Q843" s="1266"/>
      <c r="R843" s="1267"/>
      <c r="S843" s="1267"/>
      <c r="T843" s="1268"/>
    </row>
    <row r="844" spans="2:20" ht="19.5" customHeight="1">
      <c r="B844" s="1304"/>
      <c r="C844" s="1304"/>
      <c r="D844" s="1303"/>
      <c r="E844" s="600" t="s">
        <v>149</v>
      </c>
      <c r="F844" s="592"/>
      <c r="G844" s="1222">
        <f>LEN('記入シート'!C430)</f>
        <v>0</v>
      </c>
      <c r="H844" s="1223"/>
      <c r="I844" s="578" t="s">
        <v>452</v>
      </c>
      <c r="J844" s="1089"/>
      <c r="K844" s="1096"/>
      <c r="L844" s="1070"/>
      <c r="M844" s="1081"/>
      <c r="N844" s="603"/>
      <c r="O844" s="586"/>
      <c r="P844" s="587"/>
      <c r="Q844" s="1266"/>
      <c r="R844" s="1267"/>
      <c r="S844" s="1267"/>
      <c r="T844" s="1268"/>
    </row>
    <row r="845" spans="2:20" ht="19.5" customHeight="1" thickBot="1">
      <c r="B845" s="1304"/>
      <c r="C845" s="1310"/>
      <c r="D845" s="1309"/>
      <c r="E845" s="927" t="s">
        <v>167</v>
      </c>
      <c r="F845" s="912"/>
      <c r="G845" s="1502" t="str">
        <f>IF(G844&gt;G843,"OVER","INSIDE")</f>
        <v>INSIDE</v>
      </c>
      <c r="H845" s="1503"/>
      <c r="I845" s="1504"/>
      <c r="J845" s="1082"/>
      <c r="K845" s="1086"/>
      <c r="L845" s="1071"/>
      <c r="M845" s="1078"/>
      <c r="N845" s="608"/>
      <c r="O845" s="595"/>
      <c r="P845" s="596"/>
      <c r="Q845" s="1269"/>
      <c r="R845" s="1270"/>
      <c r="S845" s="1270"/>
      <c r="T845" s="1271"/>
    </row>
    <row r="846" spans="2:20" ht="19.5" customHeight="1">
      <c r="B846" s="1304" t="s">
        <v>129</v>
      </c>
      <c r="C846" s="1308" t="s">
        <v>400</v>
      </c>
      <c r="D846" s="1307" t="s">
        <v>212</v>
      </c>
      <c r="E846" s="662"/>
      <c r="F846" s="609" t="s">
        <v>455</v>
      </c>
      <c r="G846" s="1438">
        <f>LEN(LEFT('記入シート'!C434,L846))</f>
        <v>0</v>
      </c>
      <c r="H846" s="1439"/>
      <c r="I846" s="612" t="s">
        <v>452</v>
      </c>
      <c r="J846" s="1719" t="s">
        <v>352</v>
      </c>
      <c r="K846" s="1095">
        <f ca="1">CELL("row",'記入シート'!C434)</f>
        <v>434</v>
      </c>
      <c r="L846" s="1070">
        <f>$L$40</f>
        <v>6</v>
      </c>
      <c r="M846" s="1081">
        <f>M800</f>
        <v>130</v>
      </c>
      <c r="N846" s="1626" t="s">
        <v>474</v>
      </c>
      <c r="O846" s="1330">
        <f>SUM(G846:H853)</f>
        <v>0</v>
      </c>
      <c r="P846" s="1727" t="s">
        <v>452</v>
      </c>
      <c r="Q846" s="1554">
        <f>IF(O851=0,REPT("　",O861*L846),CONCATENATE(LEFT('記入シート'!C434,L846),REPT("　",G847),LEFT('記入シート'!C435,L846),REPT("　",G849),LEFT('記入シート'!C436,L846),REPT("　",G851),LEFT('記入シート'!C437,L846),REPT("　",G853),REPT("　",L846*O853)))</f>
      </c>
      <c r="R846" s="313"/>
      <c r="S846" s="313"/>
      <c r="T846" s="313"/>
    </row>
    <row r="847" spans="2:20" ht="19.5" customHeight="1">
      <c r="B847" s="1304"/>
      <c r="C847" s="1304"/>
      <c r="D847" s="1303"/>
      <c r="E847" s="662"/>
      <c r="F847" s="613" t="s">
        <v>458</v>
      </c>
      <c r="G847" s="1222">
        <f>IF(G846=0,0,$L$40-G846)</f>
        <v>0</v>
      </c>
      <c r="H847" s="1223"/>
      <c r="I847" s="593" t="s">
        <v>452</v>
      </c>
      <c r="J847" s="1597"/>
      <c r="K847" s="1096"/>
      <c r="L847" s="1070"/>
      <c r="M847" s="1081"/>
      <c r="N847" s="1626"/>
      <c r="O847" s="1330"/>
      <c r="P847" s="1727"/>
      <c r="Q847" s="1554"/>
      <c r="R847" s="313"/>
      <c r="S847" s="313"/>
      <c r="T847" s="313"/>
    </row>
    <row r="848" spans="2:20" ht="19.5" customHeight="1">
      <c r="B848" s="1304"/>
      <c r="C848" s="1304"/>
      <c r="D848" s="1303"/>
      <c r="E848" s="662"/>
      <c r="F848" s="613" t="s">
        <v>456</v>
      </c>
      <c r="G848" s="1222">
        <f>LEN(LEFT('記入シート'!C435,L846))</f>
        <v>0</v>
      </c>
      <c r="H848" s="1223"/>
      <c r="I848" s="593" t="s">
        <v>452</v>
      </c>
      <c r="J848" s="1597" t="s">
        <v>352</v>
      </c>
      <c r="K848" s="1090">
        <f ca="1">CELL("row",'記入シート'!C435)</f>
        <v>435</v>
      </c>
      <c r="L848" s="1070"/>
      <c r="M848" s="1081"/>
      <c r="N848" s="1626"/>
      <c r="O848" s="1330"/>
      <c r="P848" s="1727"/>
      <c r="Q848" s="1554"/>
      <c r="R848" s="313"/>
      <c r="S848" s="313"/>
      <c r="T848" s="313"/>
    </row>
    <row r="849" spans="2:20" ht="19.5" customHeight="1">
      <c r="B849" s="1304"/>
      <c r="C849" s="1304"/>
      <c r="D849" s="1303"/>
      <c r="E849" s="662" t="s">
        <v>401</v>
      </c>
      <c r="F849" s="613" t="s">
        <v>459</v>
      </c>
      <c r="G849" s="1222">
        <f>IF(G848=0,0,$L$40-G848)</f>
        <v>0</v>
      </c>
      <c r="H849" s="1223"/>
      <c r="I849" s="593" t="s">
        <v>452</v>
      </c>
      <c r="J849" s="1597"/>
      <c r="K849" s="1090"/>
      <c r="L849" s="1070"/>
      <c r="M849" s="1081"/>
      <c r="N849" s="1626"/>
      <c r="O849" s="1330"/>
      <c r="P849" s="1727"/>
      <c r="Q849" s="1549"/>
      <c r="R849" s="313"/>
      <c r="S849" s="313"/>
      <c r="T849" s="313"/>
    </row>
    <row r="850" spans="2:20" ht="19.5" customHeight="1">
      <c r="B850" s="1304"/>
      <c r="C850" s="1304"/>
      <c r="D850" s="1303"/>
      <c r="E850" s="662" t="s">
        <v>289</v>
      </c>
      <c r="F850" s="605" t="s">
        <v>475</v>
      </c>
      <c r="G850" s="1222">
        <f>LEN(LEFT('記入シート'!C436,L846))</f>
        <v>0</v>
      </c>
      <c r="H850" s="1223"/>
      <c r="I850" s="593" t="s">
        <v>452</v>
      </c>
      <c r="J850" s="1624" t="s">
        <v>352</v>
      </c>
      <c r="K850" s="1090">
        <f ca="1">CELL("row",'記入シート'!C436)</f>
        <v>436</v>
      </c>
      <c r="L850" s="1070"/>
      <c r="M850" s="1081"/>
      <c r="N850" s="1627"/>
      <c r="O850" s="1613"/>
      <c r="P850" s="1728"/>
      <c r="Q850" s="320"/>
      <c r="R850" s="313"/>
      <c r="S850" s="313"/>
      <c r="T850" s="313"/>
    </row>
    <row r="851" spans="2:20" ht="19.5" customHeight="1">
      <c r="B851" s="1304"/>
      <c r="C851" s="1304"/>
      <c r="D851" s="1303"/>
      <c r="E851" s="662"/>
      <c r="F851" s="605" t="s">
        <v>476</v>
      </c>
      <c r="G851" s="1222">
        <f>IF(G850=0,0,$L$40-G850)</f>
        <v>0</v>
      </c>
      <c r="H851" s="1223"/>
      <c r="I851" s="593" t="s">
        <v>452</v>
      </c>
      <c r="J851" s="1719"/>
      <c r="K851" s="1090"/>
      <c r="L851" s="1070"/>
      <c r="M851" s="1081"/>
      <c r="N851" s="1601" t="s">
        <v>480</v>
      </c>
      <c r="O851" s="1606">
        <f>O846/$L$40</f>
        <v>0</v>
      </c>
      <c r="P851" s="1604" t="s">
        <v>453</v>
      </c>
      <c r="Q851" s="320"/>
      <c r="R851" s="313"/>
      <c r="S851" s="313"/>
      <c r="T851" s="313"/>
    </row>
    <row r="852" spans="2:20" ht="19.5" customHeight="1">
      <c r="B852" s="1304"/>
      <c r="C852" s="1304"/>
      <c r="D852" s="1303"/>
      <c r="E852" s="662"/>
      <c r="F852" s="605" t="s">
        <v>477</v>
      </c>
      <c r="G852" s="1222">
        <f>LEN(LEFT('記入シート'!C437,L846))</f>
        <v>0</v>
      </c>
      <c r="H852" s="1223"/>
      <c r="I852" s="593" t="s">
        <v>452</v>
      </c>
      <c r="J852" s="1624" t="s">
        <v>352</v>
      </c>
      <c r="K852" s="1090">
        <f ca="1">CELL("row",'記入シート'!C437)</f>
        <v>437</v>
      </c>
      <c r="L852" s="1070"/>
      <c r="M852" s="1081"/>
      <c r="N852" s="1616"/>
      <c r="O852" s="1613"/>
      <c r="P852" s="1584"/>
      <c r="Q852" s="995"/>
      <c r="R852" s="313"/>
      <c r="S852" s="313"/>
      <c r="T852" s="313"/>
    </row>
    <row r="853" spans="2:20" ht="19.5" customHeight="1">
      <c r="B853" s="1304"/>
      <c r="C853" s="1304"/>
      <c r="D853" s="1303"/>
      <c r="E853" s="662"/>
      <c r="F853" s="613" t="s">
        <v>478</v>
      </c>
      <c r="G853" s="1222">
        <f>IF(G852=0,0,$L$40-G852)</f>
        <v>0</v>
      </c>
      <c r="H853" s="1223"/>
      <c r="I853" s="593" t="s">
        <v>452</v>
      </c>
      <c r="J853" s="1089"/>
      <c r="K853" s="1090"/>
      <c r="L853" s="1070"/>
      <c r="M853" s="1081"/>
      <c r="N853" s="619" t="s">
        <v>482</v>
      </c>
      <c r="O853" s="620">
        <f>O861-O851</f>
        <v>0</v>
      </c>
      <c r="P853" s="601" t="s">
        <v>453</v>
      </c>
      <c r="Q853" s="995"/>
      <c r="R853" s="313"/>
      <c r="S853" s="313"/>
      <c r="T853" s="313"/>
    </row>
    <row r="854" spans="2:20" ht="19.5" customHeight="1">
      <c r="B854" s="1304"/>
      <c r="C854" s="1304"/>
      <c r="D854" s="1303"/>
      <c r="E854" s="629"/>
      <c r="F854" s="598"/>
      <c r="G854" s="598"/>
      <c r="H854" s="598"/>
      <c r="I854" s="598"/>
      <c r="J854" s="1012"/>
      <c r="K854" s="630"/>
      <c r="L854" s="621"/>
      <c r="M854" s="622"/>
      <c r="N854" s="1618" t="s">
        <v>124</v>
      </c>
      <c r="O854" s="1534" t="str">
        <f>IF(O851&gt;G842/L834,"OVER","INSIDE")</f>
        <v>INSIDE</v>
      </c>
      <c r="P854" s="1535"/>
      <c r="Q854" s="424"/>
      <c r="R854" s="419"/>
      <c r="S854" s="419"/>
      <c r="T854" s="419"/>
    </row>
    <row r="855" spans="2:20" ht="19.5" customHeight="1" thickBot="1">
      <c r="B855" s="1304"/>
      <c r="C855" s="1304"/>
      <c r="D855" s="1303"/>
      <c r="E855" s="647"/>
      <c r="F855" s="623"/>
      <c r="G855" s="623"/>
      <c r="H855" s="623"/>
      <c r="I855" s="623"/>
      <c r="J855" s="1013"/>
      <c r="K855" s="650"/>
      <c r="L855" s="624"/>
      <c r="M855" s="625"/>
      <c r="N855" s="1619"/>
      <c r="O855" s="1536"/>
      <c r="P855" s="1537"/>
      <c r="Q855" s="424"/>
      <c r="R855" s="419"/>
      <c r="S855" s="419"/>
      <c r="T855" s="419"/>
    </row>
    <row r="856" spans="2:20" ht="19.5" customHeight="1">
      <c r="B856" s="1304" t="s">
        <v>129</v>
      </c>
      <c r="C856" s="1304" t="s">
        <v>400</v>
      </c>
      <c r="D856" s="1303" t="s">
        <v>212</v>
      </c>
      <c r="E856" s="661"/>
      <c r="F856" s="626" t="s">
        <v>455</v>
      </c>
      <c r="G856" s="1440">
        <f>LEN(LEFT('記入シート'!C440,L856))</f>
        <v>0</v>
      </c>
      <c r="H856" s="1441"/>
      <c r="I856" s="627" t="s">
        <v>452</v>
      </c>
      <c r="J856" s="1617" t="s">
        <v>352</v>
      </c>
      <c r="K856" s="1095">
        <f ca="1">CELL("row",'記入シート'!C440)</f>
        <v>440</v>
      </c>
      <c r="L856" s="1326">
        <f>$L$49</f>
        <v>6</v>
      </c>
      <c r="M856" s="1734">
        <f>M800</f>
        <v>130</v>
      </c>
      <c r="N856" s="1625" t="s">
        <v>484</v>
      </c>
      <c r="O856" s="1329">
        <f>SUM(G856:H859)</f>
        <v>0</v>
      </c>
      <c r="P856" s="1331" t="s">
        <v>452</v>
      </c>
      <c r="Q856" s="1548">
        <f>IF(O859=0,REPT("　",O861*L856),CONCATENATE(LEFT('記入シート'!C440,L856),REPT("　",G857),LEFT('記入シート'!C441,L856),REPT("　",G859),REPT("　",L856*O864)))</f>
      </c>
      <c r="R856" s="419"/>
      <c r="S856" s="419"/>
      <c r="T856" s="419"/>
    </row>
    <row r="857" spans="2:20" ht="19.5" customHeight="1">
      <c r="B857" s="1304"/>
      <c r="C857" s="1304"/>
      <c r="D857" s="1303"/>
      <c r="E857" s="662" t="s">
        <v>402</v>
      </c>
      <c r="F857" s="613" t="s">
        <v>458</v>
      </c>
      <c r="G857" s="1336">
        <f>IF(G856=0,0,$L$49-G856)</f>
        <v>0</v>
      </c>
      <c r="H857" s="1337"/>
      <c r="I857" s="593" t="s">
        <v>452</v>
      </c>
      <c r="J857" s="1597"/>
      <c r="K857" s="1091"/>
      <c r="L857" s="1070"/>
      <c r="M857" s="1732"/>
      <c r="N857" s="1626"/>
      <c r="O857" s="1330"/>
      <c r="P857" s="1332"/>
      <c r="Q857" s="1549"/>
      <c r="R857" s="419"/>
      <c r="S857" s="419"/>
      <c r="T857" s="419"/>
    </row>
    <row r="858" spans="2:20" ht="19.5" customHeight="1">
      <c r="B858" s="1304"/>
      <c r="C858" s="1304"/>
      <c r="D858" s="1303"/>
      <c r="E858" s="662" t="s">
        <v>289</v>
      </c>
      <c r="F858" s="613" t="s">
        <v>456</v>
      </c>
      <c r="G858" s="1336">
        <f>LEN(LEFT('記入シート'!C441,L856))</f>
        <v>0</v>
      </c>
      <c r="H858" s="1337"/>
      <c r="I858" s="593" t="s">
        <v>452</v>
      </c>
      <c r="J858" s="1624" t="s">
        <v>352</v>
      </c>
      <c r="K858" s="1092">
        <f ca="1">CELL("row",'記入シート'!C441)</f>
        <v>441</v>
      </c>
      <c r="L858" s="1070"/>
      <c r="M858" s="1732"/>
      <c r="N858" s="1627"/>
      <c r="O858" s="1613"/>
      <c r="P858" s="1584"/>
      <c r="Q858" s="424"/>
      <c r="R858" s="419"/>
      <c r="S858" s="419"/>
      <c r="T858" s="419"/>
    </row>
    <row r="859" spans="2:20" ht="19.5" customHeight="1">
      <c r="B859" s="1304"/>
      <c r="C859" s="1304"/>
      <c r="D859" s="1303"/>
      <c r="E859" s="662"/>
      <c r="F859" s="605" t="s">
        <v>459</v>
      </c>
      <c r="G859" s="1336">
        <f>IF(G858=0,0,$L$49-G858)</f>
        <v>0</v>
      </c>
      <c r="H859" s="1337"/>
      <c r="I859" s="578" t="s">
        <v>452</v>
      </c>
      <c r="J859" s="1719"/>
      <c r="K859" s="1084"/>
      <c r="L859" s="1609"/>
      <c r="M859" s="1732"/>
      <c r="N859" s="1601" t="s">
        <v>479</v>
      </c>
      <c r="O859" s="1606">
        <f>O856/$L$49</f>
        <v>0</v>
      </c>
      <c r="P859" s="1604" t="s">
        <v>453</v>
      </c>
      <c r="Q859" s="424"/>
      <c r="R859" s="419"/>
      <c r="S859" s="419"/>
      <c r="T859" s="419"/>
    </row>
    <row r="860" spans="2:20" ht="19.5" customHeight="1">
      <c r="B860" s="1304"/>
      <c r="C860" s="1304"/>
      <c r="D860" s="1303"/>
      <c r="E860" s="629"/>
      <c r="F860" s="614"/>
      <c r="G860" s="614"/>
      <c r="H860" s="615"/>
      <c r="I860" s="630"/>
      <c r="J860" s="1012"/>
      <c r="K860" s="630"/>
      <c r="L860" s="631"/>
      <c r="M860" s="632"/>
      <c r="N860" s="1328"/>
      <c r="O860" s="1330"/>
      <c r="P860" s="1332"/>
      <c r="Q860" s="424"/>
      <c r="R860" s="419"/>
      <c r="S860" s="419"/>
      <c r="T860" s="419"/>
    </row>
    <row r="861" spans="2:20" ht="19.5" customHeight="1">
      <c r="B861" s="1304"/>
      <c r="C861" s="1304"/>
      <c r="D861" s="1303"/>
      <c r="E861" s="629"/>
      <c r="F861" s="610"/>
      <c r="G861" s="610"/>
      <c r="H861" s="611"/>
      <c r="I861" s="633"/>
      <c r="J861" s="1014"/>
      <c r="K861" s="633"/>
      <c r="L861" s="634"/>
      <c r="M861" s="635"/>
      <c r="N861" s="1601" t="s">
        <v>483</v>
      </c>
      <c r="O861" s="1606">
        <f>MAX(G839,O851,O859)</f>
        <v>0</v>
      </c>
      <c r="P861" s="1604" t="s">
        <v>453</v>
      </c>
      <c r="Q861" s="424"/>
      <c r="R861" s="419"/>
      <c r="S861" s="419"/>
      <c r="T861" s="419"/>
    </row>
    <row r="862" spans="2:20" ht="19.5" customHeight="1">
      <c r="B862" s="1304"/>
      <c r="C862" s="1304"/>
      <c r="D862" s="1303"/>
      <c r="E862" s="629"/>
      <c r="F862" s="610"/>
      <c r="G862" s="610"/>
      <c r="H862" s="611"/>
      <c r="I862" s="633"/>
      <c r="J862" s="1014"/>
      <c r="K862" s="633"/>
      <c r="L862" s="634"/>
      <c r="M862" s="635"/>
      <c r="N862" s="1328"/>
      <c r="O862" s="1330"/>
      <c r="P862" s="1332"/>
      <c r="Q862" s="424"/>
      <c r="R862" s="419"/>
      <c r="S862" s="419"/>
      <c r="T862" s="419"/>
    </row>
    <row r="863" spans="2:20" ht="19.5" customHeight="1">
      <c r="B863" s="1304"/>
      <c r="C863" s="1304"/>
      <c r="D863" s="1303"/>
      <c r="E863" s="629"/>
      <c r="F863" s="610"/>
      <c r="G863" s="610"/>
      <c r="H863" s="611"/>
      <c r="I863" s="633"/>
      <c r="J863" s="1014"/>
      <c r="K863" s="633"/>
      <c r="L863" s="634"/>
      <c r="M863" s="635"/>
      <c r="N863" s="1616"/>
      <c r="O863" s="1613"/>
      <c r="P863" s="1584"/>
      <c r="Q863" s="424"/>
      <c r="R863" s="419"/>
      <c r="S863" s="419"/>
      <c r="T863" s="419"/>
    </row>
    <row r="864" spans="2:20" ht="19.5" customHeight="1">
      <c r="B864" s="1304"/>
      <c r="C864" s="1304"/>
      <c r="D864" s="1303"/>
      <c r="E864" s="629"/>
      <c r="F864" s="610"/>
      <c r="G864" s="610"/>
      <c r="H864" s="611"/>
      <c r="I864" s="633"/>
      <c r="J864" s="1014"/>
      <c r="K864" s="633"/>
      <c r="L864" s="634"/>
      <c r="M864" s="635"/>
      <c r="N864" s="617" t="s">
        <v>485</v>
      </c>
      <c r="O864" s="586">
        <f>O861-O859</f>
        <v>0</v>
      </c>
      <c r="P864" s="601" t="s">
        <v>453</v>
      </c>
      <c r="Q864" s="424"/>
      <c r="R864" s="419"/>
      <c r="S864" s="419"/>
      <c r="T864" s="419"/>
    </row>
    <row r="865" spans="2:20" ht="19.5" customHeight="1">
      <c r="B865" s="1304"/>
      <c r="C865" s="1304"/>
      <c r="D865" s="1303"/>
      <c r="E865" s="629"/>
      <c r="F865" s="610"/>
      <c r="G865" s="610"/>
      <c r="H865" s="611"/>
      <c r="I865" s="633"/>
      <c r="J865" s="1014"/>
      <c r="K865" s="633"/>
      <c r="L865" s="634"/>
      <c r="M865" s="635"/>
      <c r="N865" s="1618" t="s">
        <v>125</v>
      </c>
      <c r="O865" s="1534" t="str">
        <f>IF(O859&gt;G842/L834,"OVER","INSIDE")</f>
        <v>INSIDE</v>
      </c>
      <c r="P865" s="1535"/>
      <c r="Q865" s="424"/>
      <c r="R865" s="419"/>
      <c r="S865" s="419"/>
      <c r="T865" s="419"/>
    </row>
    <row r="866" spans="2:20" ht="19.5" customHeight="1" thickBot="1">
      <c r="B866" s="1304"/>
      <c r="C866" s="1304"/>
      <c r="D866" s="1303"/>
      <c r="E866" s="629"/>
      <c r="F866" s="610"/>
      <c r="G866" s="610"/>
      <c r="H866" s="611"/>
      <c r="I866" s="633"/>
      <c r="J866" s="1014"/>
      <c r="K866" s="633"/>
      <c r="L866" s="634"/>
      <c r="M866" s="635"/>
      <c r="N866" s="1619"/>
      <c r="O866" s="1536"/>
      <c r="P866" s="1537"/>
      <c r="Q866" s="424"/>
      <c r="R866" s="419"/>
      <c r="S866" s="419"/>
      <c r="T866" s="419"/>
    </row>
    <row r="867" spans="2:20" ht="19.5" customHeight="1">
      <c r="B867" s="1304" t="s">
        <v>129</v>
      </c>
      <c r="C867" s="1304" t="s">
        <v>400</v>
      </c>
      <c r="D867" s="1303" t="s">
        <v>212</v>
      </c>
      <c r="E867" s="661"/>
      <c r="F867" s="636" t="s">
        <v>1</v>
      </c>
      <c r="G867" s="1318">
        <f>LEN(LEFT('記入シート'!D444,2))</f>
        <v>0</v>
      </c>
      <c r="H867" s="1319"/>
      <c r="I867" s="627" t="s">
        <v>452</v>
      </c>
      <c r="J867" s="1617" t="s">
        <v>353</v>
      </c>
      <c r="K867" s="1085">
        <f ca="1">CELL("row",'記入シート'!D444)</f>
        <v>444</v>
      </c>
      <c r="L867" s="1614">
        <v>2</v>
      </c>
      <c r="M867" s="1734">
        <f>M800</f>
        <v>130</v>
      </c>
      <c r="N867" s="1612" t="s">
        <v>8</v>
      </c>
      <c r="O867" s="1329">
        <f>IF(G867=0,0,1)</f>
        <v>0</v>
      </c>
      <c r="P867" s="1331" t="s">
        <v>453</v>
      </c>
      <c r="Q867" s="503" t="s">
        <v>6</v>
      </c>
      <c r="R867" s="419"/>
      <c r="S867" s="419"/>
      <c r="T867" s="419"/>
    </row>
    <row r="868" spans="2:20" ht="19.5" customHeight="1">
      <c r="B868" s="1304"/>
      <c r="C868" s="1304"/>
      <c r="D868" s="1303"/>
      <c r="E868" s="662"/>
      <c r="F868" s="613" t="s">
        <v>2</v>
      </c>
      <c r="G868" s="1222">
        <f>$L$58-G867</f>
        <v>2</v>
      </c>
      <c r="H868" s="1223"/>
      <c r="I868" s="593" t="s">
        <v>452</v>
      </c>
      <c r="J868" s="1597"/>
      <c r="K868" s="1084"/>
      <c r="L868" s="1599"/>
      <c r="M868" s="1733"/>
      <c r="N868" s="1596"/>
      <c r="O868" s="1613"/>
      <c r="P868" s="1584"/>
      <c r="Q868" s="986">
        <f>IF(G845="OVER","",IF(G838=0,"",IF(O867=0,REPT("　",5*O869),CONCATENATE(REPT("　",G868),LEFT('記入シート'!D444,L867),"／",REPT("　",G870),LEFT('記入シート'!G444,L869),REPT("　",5*O869)))))</f>
      </c>
      <c r="R868" s="419"/>
      <c r="S868" s="419"/>
      <c r="T868" s="419"/>
    </row>
    <row r="869" spans="2:20" ht="19.5" customHeight="1">
      <c r="B869" s="1304"/>
      <c r="C869" s="1304"/>
      <c r="D869" s="1303"/>
      <c r="E869" s="662"/>
      <c r="F869" s="613" t="s">
        <v>3</v>
      </c>
      <c r="G869" s="1222">
        <f>LEN(LEFT('記入シート'!G444,2))</f>
        <v>0</v>
      </c>
      <c r="H869" s="1223"/>
      <c r="I869" s="593" t="s">
        <v>452</v>
      </c>
      <c r="J869" s="1597" t="s">
        <v>354</v>
      </c>
      <c r="K869" s="1093">
        <f ca="1">CELL("row",'記入シート'!G444)</f>
        <v>444</v>
      </c>
      <c r="L869" s="1599">
        <v>2</v>
      </c>
      <c r="M869" s="1732">
        <f>M800</f>
        <v>130</v>
      </c>
      <c r="N869" s="637" t="s">
        <v>9</v>
      </c>
      <c r="O869" s="638">
        <f>IF(O861=0,0,O861-O867)</f>
        <v>0</v>
      </c>
      <c r="P869" s="616" t="s">
        <v>453</v>
      </c>
      <c r="Q869" s="987"/>
      <c r="R869" s="419"/>
      <c r="S869" s="419"/>
      <c r="T869" s="419"/>
    </row>
    <row r="870" spans="2:20" ht="19.5" customHeight="1">
      <c r="B870" s="1304"/>
      <c r="C870" s="1304"/>
      <c r="D870" s="1303"/>
      <c r="E870" s="662" t="s">
        <v>403</v>
      </c>
      <c r="F870" s="613" t="s">
        <v>461</v>
      </c>
      <c r="G870" s="1222">
        <f>$L$60-G869</f>
        <v>2</v>
      </c>
      <c r="H870" s="1223"/>
      <c r="I870" s="593" t="s">
        <v>452</v>
      </c>
      <c r="J870" s="1597"/>
      <c r="K870" s="1084"/>
      <c r="L870" s="1599"/>
      <c r="M870" s="1732"/>
      <c r="N870" s="585"/>
      <c r="O870" s="586"/>
      <c r="P870" s="587"/>
      <c r="Q870" s="988"/>
      <c r="R870" s="419"/>
      <c r="S870" s="419"/>
      <c r="T870" s="419"/>
    </row>
    <row r="871" spans="2:20" ht="19.5" customHeight="1">
      <c r="B871" s="1304"/>
      <c r="C871" s="1304"/>
      <c r="D871" s="1303"/>
      <c r="E871" s="662" t="s">
        <v>289</v>
      </c>
      <c r="F871" s="613" t="s">
        <v>4</v>
      </c>
      <c r="G871" s="1222">
        <f>LEN(LEFT('記入シート'!N444,2))</f>
        <v>0</v>
      </c>
      <c r="H871" s="1223"/>
      <c r="I871" s="593" t="s">
        <v>452</v>
      </c>
      <c r="J871" s="1597" t="s">
        <v>355</v>
      </c>
      <c r="K871" s="1093">
        <f ca="1">CELL("row",'記入シート'!N444)</f>
        <v>444</v>
      </c>
      <c r="L871" s="1599">
        <v>2</v>
      </c>
      <c r="M871" s="1732">
        <f>M800</f>
        <v>130</v>
      </c>
      <c r="N871" s="1595" t="s">
        <v>178</v>
      </c>
      <c r="O871" s="1606">
        <f>IF(G871=0,0,1)</f>
        <v>0</v>
      </c>
      <c r="P871" s="1604" t="s">
        <v>453</v>
      </c>
      <c r="Q871" s="503" t="s">
        <v>7</v>
      </c>
      <c r="R871" s="419"/>
      <c r="S871" s="419"/>
      <c r="T871" s="419"/>
    </row>
    <row r="872" spans="2:20" ht="19.5" customHeight="1">
      <c r="B872" s="1304"/>
      <c r="C872" s="1304"/>
      <c r="D872" s="1303"/>
      <c r="E872" s="662"/>
      <c r="F872" s="613" t="s">
        <v>5</v>
      </c>
      <c r="G872" s="1222">
        <f>$L$62-G871</f>
        <v>2</v>
      </c>
      <c r="H872" s="1223"/>
      <c r="I872" s="593" t="s">
        <v>452</v>
      </c>
      <c r="J872" s="1597"/>
      <c r="K872" s="1084"/>
      <c r="L872" s="1599"/>
      <c r="M872" s="1732"/>
      <c r="N872" s="1596"/>
      <c r="O872" s="1613"/>
      <c r="P872" s="1584"/>
      <c r="Q872" s="986">
        <f>IF(G845="OVER","",IF(G838=0,"",IF(O871=0,REPT("　",5*O873),CONCATENATE(REPT("　",G872),LEFT('記入シート'!N444,L871),"／",REPT("　",G874),LEFT('記入シート'!Q444,L873),REPT("　",5*O873)))))</f>
      </c>
      <c r="R872" s="419"/>
      <c r="S872" s="419"/>
      <c r="T872" s="419"/>
    </row>
    <row r="873" spans="2:20" ht="19.5" customHeight="1">
      <c r="B873" s="1304"/>
      <c r="C873" s="1304"/>
      <c r="D873" s="1303"/>
      <c r="E873" s="662"/>
      <c r="F873" s="613" t="s">
        <v>462</v>
      </c>
      <c r="G873" s="1222">
        <f>LEN(LEFT('記入シート'!Q444,2))</f>
        <v>0</v>
      </c>
      <c r="H873" s="1223"/>
      <c r="I873" s="593" t="s">
        <v>452</v>
      </c>
      <c r="J873" s="1597" t="s">
        <v>356</v>
      </c>
      <c r="K873" s="1093">
        <f ca="1">CELL("row",'記入シート'!Q444)</f>
        <v>444</v>
      </c>
      <c r="L873" s="1599">
        <v>2</v>
      </c>
      <c r="M873" s="1732">
        <f>M800</f>
        <v>130</v>
      </c>
      <c r="N873" s="637" t="s">
        <v>179</v>
      </c>
      <c r="O873" s="638">
        <f>IF(O861=0,0,O861-O871)</f>
        <v>0</v>
      </c>
      <c r="P873" s="616" t="s">
        <v>453</v>
      </c>
      <c r="Q873" s="987"/>
      <c r="R873" s="419"/>
      <c r="S873" s="419"/>
      <c r="T873" s="419"/>
    </row>
    <row r="874" spans="2:20" ht="19.5" customHeight="1" thickBot="1">
      <c r="B874" s="1304"/>
      <c r="C874" s="1304"/>
      <c r="D874" s="1303"/>
      <c r="E874" s="663"/>
      <c r="F874" s="613" t="s">
        <v>463</v>
      </c>
      <c r="G874" s="1444">
        <f>$L$64-G873</f>
        <v>2</v>
      </c>
      <c r="H874" s="1445"/>
      <c r="I874" s="593" t="s">
        <v>452</v>
      </c>
      <c r="J874" s="1598"/>
      <c r="K874" s="1094"/>
      <c r="L874" s="1600"/>
      <c r="M874" s="1733"/>
      <c r="N874" s="585"/>
      <c r="O874" s="586"/>
      <c r="P874" s="587"/>
      <c r="Q874" s="989"/>
      <c r="R874" s="419"/>
      <c r="S874" s="419"/>
      <c r="T874" s="419"/>
    </row>
    <row r="875" spans="2:20" ht="19.5" customHeight="1">
      <c r="B875" s="1304"/>
      <c r="C875" s="1304"/>
      <c r="D875" s="1303" t="s">
        <v>212</v>
      </c>
      <c r="E875" s="661" t="s">
        <v>404</v>
      </c>
      <c r="F875" s="626" t="s">
        <v>420</v>
      </c>
      <c r="G875" s="1318">
        <f>LEN(LEFT('記入シート'!C447,L875))</f>
        <v>0</v>
      </c>
      <c r="H875" s="1319"/>
      <c r="I875" s="627" t="s">
        <v>452</v>
      </c>
      <c r="J875" s="1313" t="s">
        <v>352</v>
      </c>
      <c r="K875" s="1095">
        <f ca="1">CELL("row",'記入シート'!C447)</f>
        <v>447</v>
      </c>
      <c r="L875" s="1326">
        <v>1</v>
      </c>
      <c r="M875" s="1083">
        <f>M800</f>
        <v>130</v>
      </c>
      <c r="N875" s="1612" t="s">
        <v>10</v>
      </c>
      <c r="O875" s="1329">
        <f>IF(G875=0,0,1)</f>
        <v>0</v>
      </c>
      <c r="P875" s="1331" t="s">
        <v>453</v>
      </c>
      <c r="Q875" s="639">
        <f>IF(G845="OVER","",IF(G836=0,"",CONCATENATE(LEFT('記入シート'!C447,1),REPT("　",O877))))</f>
      </c>
      <c r="R875" s="419"/>
      <c r="S875" s="419"/>
      <c r="T875" s="419"/>
    </row>
    <row r="876" spans="2:20" ht="19.5" customHeight="1">
      <c r="B876" s="1304"/>
      <c r="C876" s="1304"/>
      <c r="D876" s="1303"/>
      <c r="E876" s="662" t="s">
        <v>289</v>
      </c>
      <c r="F876" s="613" t="s">
        <v>460</v>
      </c>
      <c r="G876" s="1222">
        <f>$L$66-G875</f>
        <v>1</v>
      </c>
      <c r="H876" s="1223"/>
      <c r="I876" s="593" t="s">
        <v>452</v>
      </c>
      <c r="J876" s="1089"/>
      <c r="K876" s="1096"/>
      <c r="L876" s="1070"/>
      <c r="M876" s="1081"/>
      <c r="N876" s="1596"/>
      <c r="O876" s="1613"/>
      <c r="P876" s="1584"/>
      <c r="Q876" s="424"/>
      <c r="R876" s="419"/>
      <c r="S876" s="419"/>
      <c r="T876" s="419"/>
    </row>
    <row r="877" spans="2:20" ht="19.5" customHeight="1" thickBot="1">
      <c r="B877" s="1305"/>
      <c r="C877" s="1305"/>
      <c r="D877" s="1306"/>
      <c r="E877" s="674"/>
      <c r="F877" s="640" t="s">
        <v>158</v>
      </c>
      <c r="G877" s="641" t="s">
        <v>159</v>
      </c>
      <c r="H877" s="452">
        <f>WIDECHAR('記入シート'!C447)</f>
      </c>
      <c r="I877" s="642" t="s">
        <v>160</v>
      </c>
      <c r="J877" s="1608"/>
      <c r="K877" s="1097"/>
      <c r="L877" s="1720"/>
      <c r="M877" s="1721"/>
      <c r="N877" s="643" t="s">
        <v>486</v>
      </c>
      <c r="O877" s="644">
        <f>IF(O861=0,0,O861-O875)</f>
        <v>0</v>
      </c>
      <c r="P877" s="587" t="s">
        <v>453</v>
      </c>
      <c r="Q877" s="424"/>
      <c r="R877" s="419"/>
      <c r="S877" s="419"/>
      <c r="T877" s="419"/>
    </row>
    <row r="878" spans="2:20" ht="19.5" customHeight="1" thickTop="1">
      <c r="B878" s="1312" t="s">
        <v>130</v>
      </c>
      <c r="C878" s="1312" t="s">
        <v>400</v>
      </c>
      <c r="D878" s="1311" t="s">
        <v>487</v>
      </c>
      <c r="E878" s="928" t="s">
        <v>437</v>
      </c>
      <c r="F878" s="923"/>
      <c r="G878" s="1442">
        <f>IF(G834-G841-O834*L834&lt;0,0,G834-G841-O834*L834)</f>
        <v>2470</v>
      </c>
      <c r="H878" s="1443"/>
      <c r="I878" s="923" t="s">
        <v>452</v>
      </c>
      <c r="J878" s="1313" t="s">
        <v>351</v>
      </c>
      <c r="K878" s="1095">
        <f ca="1">CELL("row",'記入シート'!C452)</f>
        <v>452</v>
      </c>
      <c r="L878" s="1314">
        <f>$L$32</f>
        <v>19</v>
      </c>
      <c r="M878" s="1315">
        <f>G886/L878</f>
        <v>130</v>
      </c>
      <c r="N878" s="1722" t="s">
        <v>481</v>
      </c>
      <c r="O878" s="1729">
        <f>O905-G883</f>
        <v>0</v>
      </c>
      <c r="P878" s="1730" t="s">
        <v>453</v>
      </c>
      <c r="Q878" s="1263">
        <f>IF(G882=0,REPT("　",O878*L878),CONCATENATE("②　",'記入シート'!C452,REPT("　",O878*L878+ABS(G884))))</f>
      </c>
      <c r="R878" s="1264"/>
      <c r="S878" s="1264"/>
      <c r="T878" s="1265"/>
    </row>
    <row r="879" spans="2:20" ht="19.5" customHeight="1">
      <c r="B879" s="1304"/>
      <c r="C879" s="1304"/>
      <c r="D879" s="1303"/>
      <c r="E879" s="929" t="s">
        <v>135</v>
      </c>
      <c r="F879" s="926"/>
      <c r="G879" s="1436">
        <f>IF(G878&gt;2,G878-2,0)</f>
        <v>2468</v>
      </c>
      <c r="H879" s="1437"/>
      <c r="I879" s="926" t="s">
        <v>452</v>
      </c>
      <c r="J879" s="1089"/>
      <c r="K879" s="1096"/>
      <c r="L879" s="1070"/>
      <c r="M879" s="1081"/>
      <c r="N879" s="1328"/>
      <c r="O879" s="1330"/>
      <c r="P879" s="1332"/>
      <c r="Q879" s="1266"/>
      <c r="R879" s="1267"/>
      <c r="S879" s="1267"/>
      <c r="T879" s="1268"/>
    </row>
    <row r="880" spans="2:20" ht="19.5" customHeight="1">
      <c r="B880" s="1304"/>
      <c r="C880" s="1304"/>
      <c r="D880" s="1303"/>
      <c r="E880" s="929" t="s">
        <v>150</v>
      </c>
      <c r="F880" s="926"/>
      <c r="G880" s="1436">
        <f>LEN('記入シート'!C452)</f>
        <v>0</v>
      </c>
      <c r="H880" s="1437"/>
      <c r="I880" s="920" t="s">
        <v>452</v>
      </c>
      <c r="J880" s="1089"/>
      <c r="K880" s="1096"/>
      <c r="L880" s="1070"/>
      <c r="M880" s="1081"/>
      <c r="N880" s="1616"/>
      <c r="O880" s="1613"/>
      <c r="P880" s="1584"/>
      <c r="Q880" s="1266"/>
      <c r="R880" s="1267"/>
      <c r="S880" s="1267"/>
      <c r="T880" s="1268"/>
    </row>
    <row r="881" spans="2:20" ht="19.5" customHeight="1">
      <c r="B881" s="1304"/>
      <c r="C881" s="1304"/>
      <c r="D881" s="1303"/>
      <c r="E881" s="929" t="s">
        <v>167</v>
      </c>
      <c r="F881" s="926"/>
      <c r="G881" s="1354" t="str">
        <f>IF(G880&gt;G879,"OVER","INSIDE")</f>
        <v>INSIDE</v>
      </c>
      <c r="H881" s="1355"/>
      <c r="I881" s="1356"/>
      <c r="J881" s="1089"/>
      <c r="K881" s="1096"/>
      <c r="L881" s="1070"/>
      <c r="M881" s="1081"/>
      <c r="N881" s="603"/>
      <c r="O881" s="586"/>
      <c r="P881" s="587"/>
      <c r="Q881" s="1266"/>
      <c r="R881" s="1267"/>
      <c r="S881" s="1267"/>
      <c r="T881" s="1268"/>
    </row>
    <row r="882" spans="2:20" ht="19.5" customHeight="1">
      <c r="B882" s="1304"/>
      <c r="C882" s="1304"/>
      <c r="D882" s="1303"/>
      <c r="E882" s="600" t="s">
        <v>154</v>
      </c>
      <c r="F882" s="592"/>
      <c r="G882" s="1222">
        <f>IF(G880=0,0,IF(G881="OVER",0,G880+2))</f>
        <v>0</v>
      </c>
      <c r="H882" s="1223"/>
      <c r="I882" s="578" t="s">
        <v>452</v>
      </c>
      <c r="J882" s="1089"/>
      <c r="K882" s="1096"/>
      <c r="L882" s="1070"/>
      <c r="M882" s="1081"/>
      <c r="N882" s="603"/>
      <c r="O882" s="586"/>
      <c r="P882" s="587"/>
      <c r="Q882" s="1266"/>
      <c r="R882" s="1267"/>
      <c r="S882" s="1267"/>
      <c r="T882" s="1268"/>
    </row>
    <row r="883" spans="2:20" ht="19.5" customHeight="1">
      <c r="B883" s="1304"/>
      <c r="C883" s="1304"/>
      <c r="D883" s="1303"/>
      <c r="E883" s="604" t="s">
        <v>451</v>
      </c>
      <c r="F883" s="605"/>
      <c r="G883" s="1222">
        <f>ROUNDUP(G882/L878,0)</f>
        <v>0</v>
      </c>
      <c r="H883" s="1223"/>
      <c r="I883" s="578" t="s">
        <v>453</v>
      </c>
      <c r="J883" s="1089"/>
      <c r="K883" s="1096"/>
      <c r="L883" s="1070"/>
      <c r="M883" s="1081"/>
      <c r="N883" s="603"/>
      <c r="O883" s="586"/>
      <c r="P883" s="587"/>
      <c r="Q883" s="1266"/>
      <c r="R883" s="1267"/>
      <c r="S883" s="1267"/>
      <c r="T883" s="1268"/>
    </row>
    <row r="884" spans="2:20" ht="19.5" customHeight="1">
      <c r="B884" s="1304"/>
      <c r="C884" s="1304"/>
      <c r="D884" s="1303"/>
      <c r="E884" s="604" t="s">
        <v>419</v>
      </c>
      <c r="F884" s="605"/>
      <c r="G884" s="1222">
        <f>G882-G883*L878</f>
        <v>0</v>
      </c>
      <c r="H884" s="1223"/>
      <c r="I884" s="578" t="s">
        <v>452</v>
      </c>
      <c r="J884" s="1089"/>
      <c r="K884" s="1096"/>
      <c r="L884" s="1070"/>
      <c r="M884" s="1081"/>
      <c r="N884" s="603"/>
      <c r="O884" s="586"/>
      <c r="P884" s="587"/>
      <c r="Q884" s="1266"/>
      <c r="R884" s="1267"/>
      <c r="S884" s="1267"/>
      <c r="T884" s="1268"/>
    </row>
    <row r="885" spans="2:20" ht="19.5" customHeight="1" thickBot="1">
      <c r="B885" s="1304"/>
      <c r="C885" s="1310"/>
      <c r="D885" s="1309"/>
      <c r="E885" s="880" t="s">
        <v>423</v>
      </c>
      <c r="F885" s="613"/>
      <c r="G885" s="1316">
        <f>G883*L878</f>
        <v>0</v>
      </c>
      <c r="H885" s="1317"/>
      <c r="I885" s="593" t="s">
        <v>452</v>
      </c>
      <c r="J885" s="1089"/>
      <c r="K885" s="1096"/>
      <c r="L885" s="1070"/>
      <c r="M885" s="1081"/>
      <c r="N885" s="603"/>
      <c r="O885" s="586"/>
      <c r="P885" s="587"/>
      <c r="Q885" s="1266"/>
      <c r="R885" s="1267"/>
      <c r="S885" s="1267"/>
      <c r="T885" s="1268"/>
    </row>
    <row r="886" spans="2:20" ht="19.5" customHeight="1">
      <c r="B886" s="1304" t="s">
        <v>130</v>
      </c>
      <c r="C886" s="1308" t="s">
        <v>332</v>
      </c>
      <c r="D886" s="1307" t="s">
        <v>487</v>
      </c>
      <c r="E886" s="599" t="s">
        <v>437</v>
      </c>
      <c r="F886" s="590"/>
      <c r="G886" s="1318">
        <f>IF(G842-G841-O834*L834&lt;0,0,G842-G841-O834*L834)</f>
        <v>2470</v>
      </c>
      <c r="H886" s="1319"/>
      <c r="I886" s="590" t="s">
        <v>452</v>
      </c>
      <c r="J886" s="1089"/>
      <c r="K886" s="1096"/>
      <c r="L886" s="1070"/>
      <c r="M886" s="1081"/>
      <c r="N886" s="603"/>
      <c r="O886" s="586"/>
      <c r="P886" s="587"/>
      <c r="Q886" s="1266"/>
      <c r="R886" s="1267"/>
      <c r="S886" s="1267"/>
      <c r="T886" s="1268"/>
    </row>
    <row r="887" spans="2:20" ht="19.5" customHeight="1">
      <c r="B887" s="1304"/>
      <c r="C887" s="1304"/>
      <c r="D887" s="1303"/>
      <c r="E887" s="658" t="s">
        <v>135</v>
      </c>
      <c r="F887" s="578"/>
      <c r="G887" s="1206">
        <f>IF(G886&gt;2,G886-2,0)</f>
        <v>2468</v>
      </c>
      <c r="H887" s="1207"/>
      <c r="I887" s="796" t="s">
        <v>452</v>
      </c>
      <c r="J887" s="1089"/>
      <c r="K887" s="1096"/>
      <c r="L887" s="1070"/>
      <c r="M887" s="1081"/>
      <c r="N887" s="603"/>
      <c r="O887" s="586"/>
      <c r="P887" s="587"/>
      <c r="Q887" s="1266"/>
      <c r="R887" s="1267"/>
      <c r="S887" s="1267"/>
      <c r="T887" s="1268"/>
    </row>
    <row r="888" spans="2:20" ht="19.5" customHeight="1">
      <c r="B888" s="1304"/>
      <c r="C888" s="1304"/>
      <c r="D888" s="1303"/>
      <c r="E888" s="658" t="s">
        <v>150</v>
      </c>
      <c r="F888" s="578"/>
      <c r="G888" s="1222">
        <f>LEN('記入シート'!C452)</f>
        <v>0</v>
      </c>
      <c r="H888" s="1223"/>
      <c r="I888" s="578" t="s">
        <v>452</v>
      </c>
      <c r="J888" s="1089"/>
      <c r="K888" s="1096"/>
      <c r="L888" s="1070"/>
      <c r="M888" s="1081"/>
      <c r="N888" s="603"/>
      <c r="O888" s="586"/>
      <c r="P888" s="587"/>
      <c r="Q888" s="1266"/>
      <c r="R888" s="1267"/>
      <c r="S888" s="1267"/>
      <c r="T888" s="1268"/>
    </row>
    <row r="889" spans="2:20" ht="19.5" customHeight="1" thickBot="1">
      <c r="B889" s="1304"/>
      <c r="C889" s="1310"/>
      <c r="D889" s="1309"/>
      <c r="E889" s="930" t="s">
        <v>167</v>
      </c>
      <c r="F889" s="607"/>
      <c r="G889" s="1502" t="str">
        <f>IF(G888&gt;G887,"OVER","INSIDE")</f>
        <v>INSIDE</v>
      </c>
      <c r="H889" s="1503"/>
      <c r="I889" s="1504"/>
      <c r="J889" s="1082"/>
      <c r="K889" s="1086"/>
      <c r="L889" s="1071"/>
      <c r="M889" s="1078"/>
      <c r="N889" s="608"/>
      <c r="O889" s="595"/>
      <c r="P889" s="596"/>
      <c r="Q889" s="1269"/>
      <c r="R889" s="1270"/>
      <c r="S889" s="1270"/>
      <c r="T889" s="1271"/>
    </row>
    <row r="890" spans="2:20" ht="19.5" customHeight="1">
      <c r="B890" s="1304" t="s">
        <v>130</v>
      </c>
      <c r="C890" s="1308" t="s">
        <v>400</v>
      </c>
      <c r="D890" s="1307" t="s">
        <v>487</v>
      </c>
      <c r="E890" s="662"/>
      <c r="F890" s="609" t="s">
        <v>455</v>
      </c>
      <c r="G890" s="1438">
        <f>LEN(LEFT('記入シート'!C456,L890))</f>
        <v>0</v>
      </c>
      <c r="H890" s="1439"/>
      <c r="I890" s="612" t="s">
        <v>452</v>
      </c>
      <c r="J890" s="1719" t="s">
        <v>352</v>
      </c>
      <c r="K890" s="1095">
        <f ca="1">CELL("row",'記入シート'!C456)</f>
        <v>456</v>
      </c>
      <c r="L890" s="1070">
        <f>$L$40</f>
        <v>6</v>
      </c>
      <c r="M890" s="1731">
        <f>M878</f>
        <v>130</v>
      </c>
      <c r="N890" s="1626" t="s">
        <v>474</v>
      </c>
      <c r="O890" s="1330">
        <f>SUM(G890:H897)</f>
        <v>0</v>
      </c>
      <c r="P890" s="1727" t="s">
        <v>452</v>
      </c>
      <c r="Q890" s="1554">
        <f>IF(O895=0,REPT("　",O905*L890),CONCATENATE(LEFT('記入シート'!C456,L890),REPT("　",G891),LEFT('記入シート'!C457,L890),REPT("　",G893),LEFT('記入シート'!C458,L890),REPT("　",G895),LEFT('記入シート'!C459,L890),REPT("　",G897),REPT("　",L890*O897)))</f>
      </c>
      <c r="R890" s="313"/>
      <c r="S890" s="313"/>
      <c r="T890" s="313"/>
    </row>
    <row r="891" spans="2:20" ht="19.5" customHeight="1">
      <c r="B891" s="1304"/>
      <c r="C891" s="1304"/>
      <c r="D891" s="1303"/>
      <c r="E891" s="662"/>
      <c r="F891" s="613" t="s">
        <v>458</v>
      </c>
      <c r="G891" s="1222">
        <f>IF(G890=0,0,$L$40-G890)</f>
        <v>0</v>
      </c>
      <c r="H891" s="1223"/>
      <c r="I891" s="593" t="s">
        <v>452</v>
      </c>
      <c r="J891" s="1597"/>
      <c r="K891" s="1096"/>
      <c r="L891" s="1070"/>
      <c r="M891" s="1731"/>
      <c r="N891" s="1626"/>
      <c r="O891" s="1330"/>
      <c r="P891" s="1727"/>
      <c r="Q891" s="1554"/>
      <c r="R891" s="313"/>
      <c r="S891" s="313"/>
      <c r="T891" s="313"/>
    </row>
    <row r="892" spans="2:20" ht="19.5" customHeight="1">
      <c r="B892" s="1304"/>
      <c r="C892" s="1304"/>
      <c r="D892" s="1303"/>
      <c r="E892" s="662"/>
      <c r="F892" s="613" t="s">
        <v>456</v>
      </c>
      <c r="G892" s="1222">
        <f>LEN(LEFT('記入シート'!C457,L890))</f>
        <v>0</v>
      </c>
      <c r="H892" s="1223"/>
      <c r="I892" s="593" t="s">
        <v>452</v>
      </c>
      <c r="J892" s="1597" t="s">
        <v>352</v>
      </c>
      <c r="K892" s="1090">
        <f ca="1">CELL("row",'記入シート'!C457)</f>
        <v>457</v>
      </c>
      <c r="L892" s="1070"/>
      <c r="M892" s="1731"/>
      <c r="N892" s="1626"/>
      <c r="O892" s="1330"/>
      <c r="P892" s="1727"/>
      <c r="Q892" s="1554"/>
      <c r="R892" s="313"/>
      <c r="S892" s="313"/>
      <c r="T892" s="313"/>
    </row>
    <row r="893" spans="2:20" ht="19.5" customHeight="1">
      <c r="B893" s="1304"/>
      <c r="C893" s="1304"/>
      <c r="D893" s="1303"/>
      <c r="E893" s="662" t="s">
        <v>401</v>
      </c>
      <c r="F893" s="613" t="s">
        <v>459</v>
      </c>
      <c r="G893" s="1222">
        <f>IF(G892=0,0,$L$40-G892)</f>
        <v>0</v>
      </c>
      <c r="H893" s="1223"/>
      <c r="I893" s="593" t="s">
        <v>452</v>
      </c>
      <c r="J893" s="1597"/>
      <c r="K893" s="1090"/>
      <c r="L893" s="1070"/>
      <c r="M893" s="1731"/>
      <c r="N893" s="1626"/>
      <c r="O893" s="1330"/>
      <c r="P893" s="1727"/>
      <c r="Q893" s="1549"/>
      <c r="R893" s="313"/>
      <c r="S893" s="313"/>
      <c r="T893" s="313"/>
    </row>
    <row r="894" spans="2:20" ht="19.5" customHeight="1">
      <c r="B894" s="1304"/>
      <c r="C894" s="1304"/>
      <c r="D894" s="1303"/>
      <c r="E894" s="662" t="s">
        <v>290</v>
      </c>
      <c r="F894" s="605" t="s">
        <v>475</v>
      </c>
      <c r="G894" s="1222">
        <f>LEN(LEFT('記入シート'!C458,L890))</f>
        <v>0</v>
      </c>
      <c r="H894" s="1223"/>
      <c r="I894" s="593" t="s">
        <v>452</v>
      </c>
      <c r="J894" s="1624" t="s">
        <v>352</v>
      </c>
      <c r="K894" s="1090">
        <f ca="1">CELL("row",'記入シート'!C458)</f>
        <v>458</v>
      </c>
      <c r="L894" s="1070"/>
      <c r="M894" s="1731"/>
      <c r="N894" s="1627"/>
      <c r="O894" s="1613"/>
      <c r="P894" s="1728"/>
      <c r="Q894" s="320"/>
      <c r="R894" s="313"/>
      <c r="S894" s="313"/>
      <c r="T894" s="313"/>
    </row>
    <row r="895" spans="2:20" ht="19.5" customHeight="1">
      <c r="B895" s="1304"/>
      <c r="C895" s="1304"/>
      <c r="D895" s="1303"/>
      <c r="E895" s="662"/>
      <c r="F895" s="605" t="s">
        <v>476</v>
      </c>
      <c r="G895" s="1222">
        <f>IF(G894=0,0,$L$40-G894)</f>
        <v>0</v>
      </c>
      <c r="H895" s="1223"/>
      <c r="I895" s="593" t="s">
        <v>452</v>
      </c>
      <c r="J895" s="1719"/>
      <c r="K895" s="1090"/>
      <c r="L895" s="1070"/>
      <c r="M895" s="1731"/>
      <c r="N895" s="1601" t="s">
        <v>480</v>
      </c>
      <c r="O895" s="1606">
        <f>O890/$L$40</f>
        <v>0</v>
      </c>
      <c r="P895" s="1604" t="s">
        <v>453</v>
      </c>
      <c r="Q895" s="320"/>
      <c r="R895" s="313"/>
      <c r="S895" s="313"/>
      <c r="T895" s="313"/>
    </row>
    <row r="896" spans="2:20" ht="19.5" customHeight="1">
      <c r="B896" s="1304"/>
      <c r="C896" s="1304"/>
      <c r="D896" s="1303"/>
      <c r="E896" s="662"/>
      <c r="F896" s="605" t="s">
        <v>477</v>
      </c>
      <c r="G896" s="1222">
        <f>LEN(LEFT('記入シート'!C459,L890))</f>
        <v>0</v>
      </c>
      <c r="H896" s="1223"/>
      <c r="I896" s="593" t="s">
        <v>452</v>
      </c>
      <c r="J896" s="1624" t="s">
        <v>352</v>
      </c>
      <c r="K896" s="1090">
        <f ca="1">CELL("row",'記入シート'!C459)</f>
        <v>459</v>
      </c>
      <c r="L896" s="1070"/>
      <c r="M896" s="1731"/>
      <c r="N896" s="1616"/>
      <c r="O896" s="1613"/>
      <c r="P896" s="1584"/>
      <c r="Q896" s="995"/>
      <c r="R896" s="313"/>
      <c r="S896" s="313"/>
      <c r="T896" s="313"/>
    </row>
    <row r="897" spans="2:20" ht="19.5" customHeight="1">
      <c r="B897" s="1304"/>
      <c r="C897" s="1304"/>
      <c r="D897" s="1303"/>
      <c r="E897" s="662"/>
      <c r="F897" s="613" t="s">
        <v>478</v>
      </c>
      <c r="G897" s="1222">
        <f>IF(G896=0,0,$L$40-G896)</f>
        <v>0</v>
      </c>
      <c r="H897" s="1223"/>
      <c r="I897" s="593" t="s">
        <v>452</v>
      </c>
      <c r="J897" s="1089"/>
      <c r="K897" s="1090"/>
      <c r="L897" s="1070"/>
      <c r="M897" s="1731"/>
      <c r="N897" s="645" t="s">
        <v>482</v>
      </c>
      <c r="O897" s="646">
        <f>O905-O895</f>
        <v>0</v>
      </c>
      <c r="P897" s="618" t="s">
        <v>453</v>
      </c>
      <c r="Q897" s="995"/>
      <c r="R897" s="313"/>
      <c r="S897" s="313"/>
      <c r="T897" s="313"/>
    </row>
    <row r="898" spans="2:20" ht="19.5" customHeight="1">
      <c r="B898" s="1304"/>
      <c r="C898" s="1304"/>
      <c r="D898" s="1303"/>
      <c r="E898" s="629"/>
      <c r="F898" s="614"/>
      <c r="G898" s="614"/>
      <c r="H898" s="615"/>
      <c r="I898" s="630"/>
      <c r="J898" s="1012"/>
      <c r="K898" s="630"/>
      <c r="L898" s="631"/>
      <c r="M898" s="632"/>
      <c r="N898" s="1618" t="s">
        <v>124</v>
      </c>
      <c r="O898" s="1620" t="str">
        <f>IF(O895&gt;G886/L878,"OVER","INSIDE")</f>
        <v>INSIDE</v>
      </c>
      <c r="P898" s="1621"/>
      <c r="Q898" s="424"/>
      <c r="R898" s="419"/>
      <c r="S898" s="419"/>
      <c r="T898" s="419"/>
    </row>
    <row r="899" spans="2:20" ht="19.5" customHeight="1" thickBot="1">
      <c r="B899" s="1304"/>
      <c r="C899" s="1304"/>
      <c r="D899" s="1303"/>
      <c r="E899" s="647"/>
      <c r="F899" s="648"/>
      <c r="G899" s="648"/>
      <c r="H899" s="649"/>
      <c r="I899" s="650"/>
      <c r="J899" s="1013"/>
      <c r="K899" s="650"/>
      <c r="L899" s="651"/>
      <c r="M899" s="652"/>
      <c r="N899" s="1619"/>
      <c r="O899" s="1622"/>
      <c r="P899" s="1623"/>
      <c r="Q899" s="424"/>
      <c r="R899" s="419"/>
      <c r="S899" s="419"/>
      <c r="T899" s="419"/>
    </row>
    <row r="900" spans="2:20" ht="19.5" customHeight="1">
      <c r="B900" s="1304" t="s">
        <v>130</v>
      </c>
      <c r="C900" s="1304" t="s">
        <v>400</v>
      </c>
      <c r="D900" s="1303" t="s">
        <v>487</v>
      </c>
      <c r="E900" s="661"/>
      <c r="F900" s="626" t="s">
        <v>455</v>
      </c>
      <c r="G900" s="1318">
        <f>LEN(LEFT('記入シート'!C462,L900))</f>
        <v>0</v>
      </c>
      <c r="H900" s="1319"/>
      <c r="I900" s="627" t="s">
        <v>452</v>
      </c>
      <c r="J900" s="1617" t="s">
        <v>352</v>
      </c>
      <c r="K900" s="1095">
        <f ca="1">CELL("row",'記入シート'!C462)</f>
        <v>462</v>
      </c>
      <c r="L900" s="1326">
        <f>$L$49</f>
        <v>6</v>
      </c>
      <c r="M900" s="1615">
        <f>M878</f>
        <v>130</v>
      </c>
      <c r="N900" s="1625" t="s">
        <v>484</v>
      </c>
      <c r="O900" s="1329">
        <f>SUM(G900:H903)</f>
        <v>0</v>
      </c>
      <c r="P900" s="1331" t="s">
        <v>452</v>
      </c>
      <c r="Q900" s="1548">
        <f>IF(O903=0,REPT("　",O905*L900),CONCATENATE(LEFT('記入シート'!C462,L900),REPT("　",G901),LEFT('記入シート'!C463,L900),REPT("　",G903),REPT("　",L900*O908)))</f>
      </c>
      <c r="R900" s="419"/>
      <c r="S900" s="419"/>
      <c r="T900" s="419"/>
    </row>
    <row r="901" spans="2:20" ht="19.5" customHeight="1">
      <c r="B901" s="1304"/>
      <c r="C901" s="1304"/>
      <c r="D901" s="1303"/>
      <c r="E901" s="662" t="s">
        <v>402</v>
      </c>
      <c r="F901" s="613" t="s">
        <v>458</v>
      </c>
      <c r="G901" s="1222">
        <f>IF(G900=0,0,$L$49-G900)</f>
        <v>0</v>
      </c>
      <c r="H901" s="1223"/>
      <c r="I901" s="593" t="s">
        <v>452</v>
      </c>
      <c r="J901" s="1597"/>
      <c r="K901" s="1091"/>
      <c r="L901" s="1070"/>
      <c r="M901" s="1603"/>
      <c r="N901" s="1626"/>
      <c r="O901" s="1330"/>
      <c r="P901" s="1332"/>
      <c r="Q901" s="1549"/>
      <c r="R901" s="419"/>
      <c r="S901" s="419"/>
      <c r="T901" s="419"/>
    </row>
    <row r="902" spans="2:20" ht="19.5" customHeight="1">
      <c r="B902" s="1304"/>
      <c r="C902" s="1304"/>
      <c r="D902" s="1303"/>
      <c r="E902" s="662" t="s">
        <v>291</v>
      </c>
      <c r="F902" s="613" t="s">
        <v>456</v>
      </c>
      <c r="G902" s="1222">
        <f>LEN(LEFT('記入シート'!C463,L900))</f>
        <v>0</v>
      </c>
      <c r="H902" s="1223"/>
      <c r="I902" s="593" t="s">
        <v>452</v>
      </c>
      <c r="J902" s="1624" t="s">
        <v>352</v>
      </c>
      <c r="K902" s="1092">
        <f ca="1">CELL("row",'記入シート'!C463)</f>
        <v>463</v>
      </c>
      <c r="L902" s="1070"/>
      <c r="M902" s="1603"/>
      <c r="N902" s="1627"/>
      <c r="O902" s="1613"/>
      <c r="P902" s="1584"/>
      <c r="Q902" s="424"/>
      <c r="R902" s="419"/>
      <c r="S902" s="419"/>
      <c r="T902" s="419"/>
    </row>
    <row r="903" spans="2:20" ht="19.5" customHeight="1">
      <c r="B903" s="1304"/>
      <c r="C903" s="1304"/>
      <c r="D903" s="1303"/>
      <c r="E903" s="662"/>
      <c r="F903" s="605" t="s">
        <v>459</v>
      </c>
      <c r="G903" s="1222">
        <f>IF(G902=0,0,$L$49-G902)</f>
        <v>0</v>
      </c>
      <c r="H903" s="1223"/>
      <c r="I903" s="578" t="s">
        <v>452</v>
      </c>
      <c r="J903" s="1719"/>
      <c r="K903" s="1084"/>
      <c r="L903" s="1609"/>
      <c r="M903" s="1603"/>
      <c r="N903" s="1601" t="s">
        <v>479</v>
      </c>
      <c r="O903" s="1606">
        <f>O900/$L$49</f>
        <v>0</v>
      </c>
      <c r="P903" s="1604" t="s">
        <v>453</v>
      </c>
      <c r="Q903" s="424"/>
      <c r="R903" s="419"/>
      <c r="S903" s="419"/>
      <c r="T903" s="419"/>
    </row>
    <row r="904" spans="2:20" ht="19.5" customHeight="1">
      <c r="B904" s="1304"/>
      <c r="C904" s="1304"/>
      <c r="D904" s="1303"/>
      <c r="E904" s="629"/>
      <c r="F904" s="614"/>
      <c r="G904" s="614"/>
      <c r="H904" s="615"/>
      <c r="I904" s="630"/>
      <c r="J904" s="1012"/>
      <c r="K904" s="630"/>
      <c r="L904" s="631"/>
      <c r="M904" s="631"/>
      <c r="N904" s="1328"/>
      <c r="O904" s="1330"/>
      <c r="P904" s="1332"/>
      <c r="Q904" s="424"/>
      <c r="R904" s="419"/>
      <c r="S904" s="419"/>
      <c r="T904" s="419"/>
    </row>
    <row r="905" spans="2:20" ht="19.5" customHeight="1">
      <c r="B905" s="1304"/>
      <c r="C905" s="1304"/>
      <c r="D905" s="1303"/>
      <c r="E905" s="629"/>
      <c r="F905" s="610"/>
      <c r="G905" s="610"/>
      <c r="H905" s="611"/>
      <c r="I905" s="633"/>
      <c r="J905" s="1014"/>
      <c r="K905" s="633"/>
      <c r="L905" s="634"/>
      <c r="M905" s="634"/>
      <c r="N905" s="1601" t="s">
        <v>483</v>
      </c>
      <c r="O905" s="1606">
        <f>MAX(G883,O895,O903)</f>
        <v>0</v>
      </c>
      <c r="P905" s="1604" t="s">
        <v>453</v>
      </c>
      <c r="Q905" s="424"/>
      <c r="R905" s="419"/>
      <c r="S905" s="419"/>
      <c r="T905" s="419"/>
    </row>
    <row r="906" spans="2:20" ht="19.5" customHeight="1">
      <c r="B906" s="1304"/>
      <c r="C906" s="1304"/>
      <c r="D906" s="1303"/>
      <c r="E906" s="629"/>
      <c r="F906" s="610"/>
      <c r="G906" s="610"/>
      <c r="H906" s="611"/>
      <c r="I906" s="633"/>
      <c r="J906" s="1014"/>
      <c r="K906" s="633"/>
      <c r="L906" s="634"/>
      <c r="M906" s="634"/>
      <c r="N906" s="1328"/>
      <c r="O906" s="1330"/>
      <c r="P906" s="1332"/>
      <c r="Q906" s="424"/>
      <c r="R906" s="419"/>
      <c r="S906" s="419"/>
      <c r="T906" s="419"/>
    </row>
    <row r="907" spans="2:20" ht="19.5" customHeight="1">
      <c r="B907" s="1304"/>
      <c r="C907" s="1304"/>
      <c r="D907" s="1303"/>
      <c r="E907" s="629"/>
      <c r="F907" s="610"/>
      <c r="G907" s="610"/>
      <c r="H907" s="611"/>
      <c r="I907" s="633"/>
      <c r="J907" s="1014"/>
      <c r="K907" s="633"/>
      <c r="L907" s="634"/>
      <c r="M907" s="634"/>
      <c r="N907" s="1616"/>
      <c r="O907" s="1613"/>
      <c r="P907" s="1584"/>
      <c r="Q907" s="424"/>
      <c r="R907" s="419"/>
      <c r="S907" s="419"/>
      <c r="T907" s="419"/>
    </row>
    <row r="908" spans="2:20" ht="19.5" customHeight="1">
      <c r="B908" s="1304"/>
      <c r="C908" s="1304"/>
      <c r="D908" s="1303"/>
      <c r="E908" s="629"/>
      <c r="F908" s="610"/>
      <c r="G908" s="610"/>
      <c r="H908" s="611"/>
      <c r="I908" s="633"/>
      <c r="J908" s="1014"/>
      <c r="K908" s="633"/>
      <c r="L908" s="634"/>
      <c r="M908" s="634"/>
      <c r="N908" s="617" t="s">
        <v>485</v>
      </c>
      <c r="O908" s="586">
        <f>O905-O903</f>
        <v>0</v>
      </c>
      <c r="P908" s="601" t="s">
        <v>453</v>
      </c>
      <c r="Q908" s="424"/>
      <c r="R908" s="419"/>
      <c r="S908" s="419"/>
      <c r="T908" s="419"/>
    </row>
    <row r="909" spans="2:20" ht="19.5" customHeight="1">
      <c r="B909" s="1304"/>
      <c r="C909" s="1304"/>
      <c r="D909" s="1303"/>
      <c r="E909" s="629"/>
      <c r="F909" s="610"/>
      <c r="G909" s="610"/>
      <c r="H909" s="611"/>
      <c r="I909" s="633"/>
      <c r="J909" s="1014"/>
      <c r="K909" s="633"/>
      <c r="L909" s="634"/>
      <c r="M909" s="634"/>
      <c r="N909" s="1618" t="s">
        <v>125</v>
      </c>
      <c r="O909" s="1620" t="str">
        <f>IF(O903&gt;G886/L878,"OVER","INSIDE")</f>
        <v>INSIDE</v>
      </c>
      <c r="P909" s="1621"/>
      <c r="Q909" s="424"/>
      <c r="R909" s="419"/>
      <c r="S909" s="419"/>
      <c r="T909" s="419"/>
    </row>
    <row r="910" spans="2:20" ht="19.5" customHeight="1" thickBot="1">
      <c r="B910" s="1304"/>
      <c r="C910" s="1304"/>
      <c r="D910" s="1303"/>
      <c r="E910" s="629"/>
      <c r="F910" s="610"/>
      <c r="G910" s="610"/>
      <c r="H910" s="611"/>
      <c r="I910" s="633"/>
      <c r="J910" s="1014"/>
      <c r="K910" s="633"/>
      <c r="L910" s="634"/>
      <c r="M910" s="634"/>
      <c r="N910" s="1619"/>
      <c r="O910" s="1622"/>
      <c r="P910" s="1623"/>
      <c r="Q910" s="424"/>
      <c r="R910" s="419"/>
      <c r="S910" s="419"/>
      <c r="T910" s="419"/>
    </row>
    <row r="911" spans="2:20" ht="19.5" customHeight="1">
      <c r="B911" s="1304" t="s">
        <v>130</v>
      </c>
      <c r="C911" s="1304" t="s">
        <v>400</v>
      </c>
      <c r="D911" s="1303" t="s">
        <v>487</v>
      </c>
      <c r="E911" s="661"/>
      <c r="F911" s="636" t="s">
        <v>1</v>
      </c>
      <c r="G911" s="1318">
        <f>LEN(LEFT('記入シート'!D466,2))</f>
        <v>0</v>
      </c>
      <c r="H911" s="1319"/>
      <c r="I911" s="627" t="s">
        <v>452</v>
      </c>
      <c r="J911" s="1617" t="s">
        <v>353</v>
      </c>
      <c r="K911" s="1085">
        <f ca="1">CELL("row",'記入シート'!D466)</f>
        <v>466</v>
      </c>
      <c r="L911" s="1614">
        <v>2</v>
      </c>
      <c r="M911" s="1615">
        <f>M878</f>
        <v>130</v>
      </c>
      <c r="N911" s="1612" t="s">
        <v>8</v>
      </c>
      <c r="O911" s="1329">
        <f>IF(G911=0,0,1)</f>
        <v>0</v>
      </c>
      <c r="P911" s="1331" t="s">
        <v>453</v>
      </c>
      <c r="Q911" s="503" t="s">
        <v>6</v>
      </c>
      <c r="R911" s="419"/>
      <c r="S911" s="419"/>
      <c r="T911" s="419"/>
    </row>
    <row r="912" spans="2:20" ht="19.5" customHeight="1">
      <c r="B912" s="1304"/>
      <c r="C912" s="1304"/>
      <c r="D912" s="1303"/>
      <c r="E912" s="662"/>
      <c r="F912" s="613" t="s">
        <v>2</v>
      </c>
      <c r="G912" s="1222">
        <f>$L$58-G911</f>
        <v>2</v>
      </c>
      <c r="H912" s="1223"/>
      <c r="I912" s="593" t="s">
        <v>452</v>
      </c>
      <c r="J912" s="1597"/>
      <c r="K912" s="1084"/>
      <c r="L912" s="1599"/>
      <c r="M912" s="1611"/>
      <c r="N912" s="1596"/>
      <c r="O912" s="1613"/>
      <c r="P912" s="1584"/>
      <c r="Q912" s="986">
        <f>IF(G889="OVER","",IF(G882=0,"",IF(O911=0,REPT("　",5*O913),CONCATENATE(REPT("　",G912),LEFT('記入シート'!D466,L911),"／",REPT("　",G914),LEFT('記入シート'!G466,L913),REPT("　",5*O913)))))</f>
      </c>
      <c r="R912" s="419"/>
      <c r="S912" s="419"/>
      <c r="T912" s="419"/>
    </row>
    <row r="913" spans="2:20" ht="19.5" customHeight="1">
      <c r="B913" s="1304"/>
      <c r="C913" s="1304"/>
      <c r="D913" s="1303"/>
      <c r="E913" s="662"/>
      <c r="F913" s="613" t="s">
        <v>3</v>
      </c>
      <c r="G913" s="1222">
        <f>LEN(LEFT('記入シート'!G466,2))</f>
        <v>0</v>
      </c>
      <c r="H913" s="1223"/>
      <c r="I913" s="593" t="s">
        <v>452</v>
      </c>
      <c r="J913" s="1597" t="s">
        <v>354</v>
      </c>
      <c r="K913" s="1093">
        <f ca="1">CELL("row",'記入シート'!G466)</f>
        <v>466</v>
      </c>
      <c r="L913" s="1599">
        <v>2</v>
      </c>
      <c r="M913" s="1603">
        <f>M878</f>
        <v>130</v>
      </c>
      <c r="N913" s="637" t="s">
        <v>9</v>
      </c>
      <c r="O913" s="638">
        <f>IF(O905=0,0,O905-O911)</f>
        <v>0</v>
      </c>
      <c r="P913" s="616" t="s">
        <v>453</v>
      </c>
      <c r="Q913" s="987"/>
      <c r="R913" s="419"/>
      <c r="S913" s="419"/>
      <c r="T913" s="419"/>
    </row>
    <row r="914" spans="2:20" ht="19.5" customHeight="1">
      <c r="B914" s="1304"/>
      <c r="C914" s="1304"/>
      <c r="D914" s="1303"/>
      <c r="E914" s="662" t="s">
        <v>403</v>
      </c>
      <c r="F914" s="613" t="s">
        <v>461</v>
      </c>
      <c r="G914" s="1222">
        <f>$L$60-G913</f>
        <v>2</v>
      </c>
      <c r="H914" s="1223"/>
      <c r="I914" s="593" t="s">
        <v>452</v>
      </c>
      <c r="J914" s="1597"/>
      <c r="K914" s="1084"/>
      <c r="L914" s="1599"/>
      <c r="M914" s="1603"/>
      <c r="N914" s="585"/>
      <c r="O914" s="586"/>
      <c r="P914" s="587"/>
      <c r="Q914" s="988"/>
      <c r="R914" s="419"/>
      <c r="S914" s="419"/>
      <c r="T914" s="419"/>
    </row>
    <row r="915" spans="2:20" ht="19.5" customHeight="1">
      <c r="B915" s="1304"/>
      <c r="C915" s="1304"/>
      <c r="D915" s="1303"/>
      <c r="E915" s="662" t="s">
        <v>291</v>
      </c>
      <c r="F915" s="613" t="s">
        <v>4</v>
      </c>
      <c r="G915" s="1222">
        <f>LEN(LEFT('記入シート'!N466,2))</f>
        <v>0</v>
      </c>
      <c r="H915" s="1223"/>
      <c r="I915" s="593" t="s">
        <v>452</v>
      </c>
      <c r="J915" s="1597" t="s">
        <v>355</v>
      </c>
      <c r="K915" s="1093">
        <f ca="1">CELL("row",'記入シート'!N466)</f>
        <v>466</v>
      </c>
      <c r="L915" s="1599">
        <v>2</v>
      </c>
      <c r="M915" s="1603">
        <f>M878</f>
        <v>130</v>
      </c>
      <c r="N915" s="1595" t="s">
        <v>178</v>
      </c>
      <c r="O915" s="1606">
        <f>IF(G915=0,0,1)</f>
        <v>0</v>
      </c>
      <c r="P915" s="1604" t="s">
        <v>453</v>
      </c>
      <c r="Q915" s="503" t="s">
        <v>7</v>
      </c>
      <c r="R915" s="419"/>
      <c r="S915" s="419"/>
      <c r="T915" s="419"/>
    </row>
    <row r="916" spans="2:20" ht="19.5" customHeight="1">
      <c r="B916" s="1304"/>
      <c r="C916" s="1304"/>
      <c r="D916" s="1303"/>
      <c r="E916" s="662"/>
      <c r="F916" s="613" t="s">
        <v>5</v>
      </c>
      <c r="G916" s="1222">
        <f>$L$62-G915</f>
        <v>2</v>
      </c>
      <c r="H916" s="1223"/>
      <c r="I916" s="593" t="s">
        <v>452</v>
      </c>
      <c r="J916" s="1597"/>
      <c r="K916" s="1084"/>
      <c r="L916" s="1599"/>
      <c r="M916" s="1603"/>
      <c r="N916" s="1596"/>
      <c r="O916" s="1613"/>
      <c r="P916" s="1584"/>
      <c r="Q916" s="986">
        <f>IF(G889="OVER","",IF(G882=0,"",IF(O915=0,REPT("　",5*O917),CONCATENATE(REPT("　",G916),LEFT('記入シート'!N466,L915),"／",REPT("　",G918),LEFT('記入シート'!Q466,L917),REPT("　",5*O917)))))</f>
      </c>
      <c r="R916" s="419"/>
      <c r="S916" s="419"/>
      <c r="T916" s="419"/>
    </row>
    <row r="917" spans="2:20" ht="19.5" customHeight="1">
      <c r="B917" s="1304"/>
      <c r="C917" s="1304"/>
      <c r="D917" s="1303"/>
      <c r="E917" s="662"/>
      <c r="F917" s="613" t="s">
        <v>462</v>
      </c>
      <c r="G917" s="1222">
        <f>LEN(LEFT('記入シート'!Q466,2))</f>
        <v>0</v>
      </c>
      <c r="H917" s="1223"/>
      <c r="I917" s="593" t="s">
        <v>452</v>
      </c>
      <c r="J917" s="1597" t="s">
        <v>356</v>
      </c>
      <c r="K917" s="1093">
        <f ca="1">CELL("row",'記入シート'!Q466)</f>
        <v>466</v>
      </c>
      <c r="L917" s="1599">
        <v>2</v>
      </c>
      <c r="M917" s="1603">
        <f>M878</f>
        <v>130</v>
      </c>
      <c r="N917" s="637" t="s">
        <v>179</v>
      </c>
      <c r="O917" s="638">
        <f>IF(O905=0,0,O905-O915)</f>
        <v>0</v>
      </c>
      <c r="P917" s="616" t="s">
        <v>453</v>
      </c>
      <c r="Q917" s="987"/>
      <c r="R917" s="419"/>
      <c r="S917" s="419"/>
      <c r="T917" s="419"/>
    </row>
    <row r="918" spans="2:20" ht="19.5" customHeight="1" thickBot="1">
      <c r="B918" s="1304"/>
      <c r="C918" s="1304"/>
      <c r="D918" s="1303"/>
      <c r="E918" s="663"/>
      <c r="F918" s="613" t="s">
        <v>463</v>
      </c>
      <c r="G918" s="1444">
        <f>$L$64-G917</f>
        <v>2</v>
      </c>
      <c r="H918" s="1445"/>
      <c r="I918" s="593" t="s">
        <v>452</v>
      </c>
      <c r="J918" s="1598"/>
      <c r="K918" s="1094"/>
      <c r="L918" s="1600"/>
      <c r="M918" s="1611"/>
      <c r="N918" s="585"/>
      <c r="O918" s="586"/>
      <c r="P918" s="587"/>
      <c r="Q918" s="989"/>
      <c r="R918" s="419"/>
      <c r="S918" s="419"/>
      <c r="T918" s="419"/>
    </row>
    <row r="919" spans="2:20" ht="19.5" customHeight="1">
      <c r="B919" s="1304"/>
      <c r="C919" s="1304"/>
      <c r="D919" s="1303" t="s">
        <v>487</v>
      </c>
      <c r="E919" s="661" t="s">
        <v>404</v>
      </c>
      <c r="F919" s="626" t="s">
        <v>420</v>
      </c>
      <c r="G919" s="1318">
        <f>LEN(LEFT('記入シート'!C469,L919))</f>
        <v>0</v>
      </c>
      <c r="H919" s="1319"/>
      <c r="I919" s="627" t="s">
        <v>452</v>
      </c>
      <c r="J919" s="1313" t="s">
        <v>352</v>
      </c>
      <c r="K919" s="1095">
        <f ca="1">CELL("row",'記入シート'!C469)</f>
        <v>469</v>
      </c>
      <c r="L919" s="1326">
        <f>$L$66</f>
        <v>1</v>
      </c>
      <c r="M919" s="1083">
        <f>M878</f>
        <v>130</v>
      </c>
      <c r="N919" s="1612" t="s">
        <v>10</v>
      </c>
      <c r="O919" s="1329">
        <f>IF(G919=0,0,1)</f>
        <v>0</v>
      </c>
      <c r="P919" s="1331" t="s">
        <v>453</v>
      </c>
      <c r="Q919" s="639">
        <f>IF(G889="OVER","",IF(G880=0,"",CONCATENATE(LEFT('記入シート'!C469,1),REPT("　",O921))))</f>
      </c>
      <c r="R919" s="419"/>
      <c r="S919" s="419"/>
      <c r="T919" s="419"/>
    </row>
    <row r="920" spans="2:20" ht="19.5" customHeight="1">
      <c r="B920" s="1304"/>
      <c r="C920" s="1304"/>
      <c r="D920" s="1303"/>
      <c r="E920" s="662" t="s">
        <v>291</v>
      </c>
      <c r="F920" s="613" t="s">
        <v>460</v>
      </c>
      <c r="G920" s="1222">
        <f>$L$66-G919</f>
        <v>1</v>
      </c>
      <c r="H920" s="1223"/>
      <c r="I920" s="593" t="s">
        <v>452</v>
      </c>
      <c r="J920" s="1089"/>
      <c r="K920" s="1096"/>
      <c r="L920" s="1070"/>
      <c r="M920" s="1081"/>
      <c r="N920" s="1596"/>
      <c r="O920" s="1613"/>
      <c r="P920" s="1584"/>
      <c r="Q920" s="424"/>
      <c r="R920" s="419"/>
      <c r="S920" s="419"/>
      <c r="T920" s="419"/>
    </row>
    <row r="921" spans="2:20" ht="19.5" customHeight="1" thickBot="1">
      <c r="B921" s="1305"/>
      <c r="C921" s="1305"/>
      <c r="D921" s="1306"/>
      <c r="E921" s="664"/>
      <c r="F921" s="640" t="s">
        <v>158</v>
      </c>
      <c r="G921" s="641" t="s">
        <v>159</v>
      </c>
      <c r="H921" s="452">
        <f>WIDECHAR('記入シート'!C469)</f>
      </c>
      <c r="I921" s="642" t="s">
        <v>160</v>
      </c>
      <c r="J921" s="1608"/>
      <c r="K921" s="1097"/>
      <c r="L921" s="1720"/>
      <c r="M921" s="1721"/>
      <c r="N921" s="653" t="s">
        <v>486</v>
      </c>
      <c r="O921" s="654">
        <f>IF(O905=0,0,O905-O919)</f>
        <v>0</v>
      </c>
      <c r="P921" s="655" t="s">
        <v>453</v>
      </c>
      <c r="Q921" s="424"/>
      <c r="R921" s="419"/>
      <c r="S921" s="419"/>
      <c r="T921" s="419"/>
    </row>
    <row r="922" spans="2:20" ht="19.5" customHeight="1" thickTop="1">
      <c r="B922" s="1312" t="s">
        <v>131</v>
      </c>
      <c r="C922" s="1312" t="s">
        <v>400</v>
      </c>
      <c r="D922" s="1311" t="s">
        <v>473</v>
      </c>
      <c r="E922" s="928" t="s">
        <v>437</v>
      </c>
      <c r="F922" s="923"/>
      <c r="G922" s="1442">
        <f>IF(G878-G885-O878*L878&lt;0,0,G878-G885-O878*L878)</f>
        <v>2470</v>
      </c>
      <c r="H922" s="1443"/>
      <c r="I922" s="923" t="s">
        <v>452</v>
      </c>
      <c r="J922" s="1313" t="s">
        <v>351</v>
      </c>
      <c r="K922" s="1095">
        <f ca="1">CELL("row",'記入シート'!C474)</f>
        <v>474</v>
      </c>
      <c r="L922" s="1314">
        <f>$L$32</f>
        <v>19</v>
      </c>
      <c r="M922" s="1315">
        <f>G930/L922</f>
        <v>130</v>
      </c>
      <c r="N922" s="1722" t="s">
        <v>481</v>
      </c>
      <c r="O922" s="1729">
        <f>O949-G927</f>
        <v>0</v>
      </c>
      <c r="P922" s="1730" t="s">
        <v>453</v>
      </c>
      <c r="Q922" s="1263">
        <f>IF(G926=0,REPT("　",O922*L922),CONCATENATE("③　",'記入シート'!C474,REPT("　",O922*L922+ABS(G928))))</f>
      </c>
      <c r="R922" s="1264"/>
      <c r="S922" s="1264"/>
      <c r="T922" s="1265"/>
    </row>
    <row r="923" spans="2:20" ht="19.5" customHeight="1">
      <c r="B923" s="1304"/>
      <c r="C923" s="1304"/>
      <c r="D923" s="1303"/>
      <c r="E923" s="929" t="s">
        <v>136</v>
      </c>
      <c r="F923" s="926"/>
      <c r="G923" s="1436">
        <f>IF(G922&gt;2,G922-2,0)</f>
        <v>2468</v>
      </c>
      <c r="H923" s="1437"/>
      <c r="I923" s="926" t="s">
        <v>452</v>
      </c>
      <c r="J923" s="1089"/>
      <c r="K923" s="1096"/>
      <c r="L923" s="1070"/>
      <c r="M923" s="1081"/>
      <c r="N923" s="1328"/>
      <c r="O923" s="1330"/>
      <c r="P923" s="1332"/>
      <c r="Q923" s="1266"/>
      <c r="R923" s="1267"/>
      <c r="S923" s="1267"/>
      <c r="T923" s="1268"/>
    </row>
    <row r="924" spans="2:20" ht="19.5" customHeight="1">
      <c r="B924" s="1304"/>
      <c r="C924" s="1304"/>
      <c r="D924" s="1303"/>
      <c r="E924" s="929" t="s">
        <v>151</v>
      </c>
      <c r="F924" s="926"/>
      <c r="G924" s="1436">
        <f>LEN('記入シート'!C474)</f>
        <v>0</v>
      </c>
      <c r="H924" s="1437"/>
      <c r="I924" s="920" t="s">
        <v>452</v>
      </c>
      <c r="J924" s="1089"/>
      <c r="K924" s="1096"/>
      <c r="L924" s="1070"/>
      <c r="M924" s="1081"/>
      <c r="N924" s="1616"/>
      <c r="O924" s="1613"/>
      <c r="P924" s="1584"/>
      <c r="Q924" s="1266"/>
      <c r="R924" s="1267"/>
      <c r="S924" s="1267"/>
      <c r="T924" s="1268"/>
    </row>
    <row r="925" spans="2:20" ht="19.5" customHeight="1">
      <c r="B925" s="1304"/>
      <c r="C925" s="1304"/>
      <c r="D925" s="1303"/>
      <c r="E925" s="929" t="s">
        <v>167</v>
      </c>
      <c r="F925" s="926"/>
      <c r="G925" s="1354" t="str">
        <f>IF(G924&gt;G923,"OVER","INSIDE")</f>
        <v>INSIDE</v>
      </c>
      <c r="H925" s="1355"/>
      <c r="I925" s="1356"/>
      <c r="J925" s="1089"/>
      <c r="K925" s="1096"/>
      <c r="L925" s="1070"/>
      <c r="M925" s="1081"/>
      <c r="N925" s="603"/>
      <c r="O925" s="586"/>
      <c r="P925" s="587"/>
      <c r="Q925" s="1266"/>
      <c r="R925" s="1267"/>
      <c r="S925" s="1267"/>
      <c r="T925" s="1268"/>
    </row>
    <row r="926" spans="2:20" ht="19.5" customHeight="1">
      <c r="B926" s="1304"/>
      <c r="C926" s="1304"/>
      <c r="D926" s="1303"/>
      <c r="E926" s="600" t="s">
        <v>155</v>
      </c>
      <c r="F926" s="592"/>
      <c r="G926" s="1222">
        <f>IF(G924=0,0,IF(G925="OVER",0,G924+2))</f>
        <v>0</v>
      </c>
      <c r="H926" s="1223"/>
      <c r="I926" s="578" t="s">
        <v>452</v>
      </c>
      <c r="J926" s="1089"/>
      <c r="K926" s="1096"/>
      <c r="L926" s="1070"/>
      <c r="M926" s="1081"/>
      <c r="N926" s="603"/>
      <c r="O926" s="586"/>
      <c r="P926" s="587"/>
      <c r="Q926" s="1266"/>
      <c r="R926" s="1267"/>
      <c r="S926" s="1267"/>
      <c r="T926" s="1268"/>
    </row>
    <row r="927" spans="2:20" ht="19.5" customHeight="1">
      <c r="B927" s="1304"/>
      <c r="C927" s="1304"/>
      <c r="D927" s="1303"/>
      <c r="E927" s="604" t="s">
        <v>451</v>
      </c>
      <c r="F927" s="605"/>
      <c r="G927" s="1222">
        <f>ROUNDUP(G926/L922,0)</f>
        <v>0</v>
      </c>
      <c r="H927" s="1223"/>
      <c r="I927" s="578" t="s">
        <v>453</v>
      </c>
      <c r="J927" s="1089"/>
      <c r="K927" s="1096"/>
      <c r="L927" s="1070"/>
      <c r="M927" s="1081"/>
      <c r="N927" s="603"/>
      <c r="O927" s="586"/>
      <c r="P927" s="587"/>
      <c r="Q927" s="1266"/>
      <c r="R927" s="1267"/>
      <c r="S927" s="1267"/>
      <c r="T927" s="1268"/>
    </row>
    <row r="928" spans="2:20" ht="19.5" customHeight="1">
      <c r="B928" s="1304"/>
      <c r="C928" s="1304"/>
      <c r="D928" s="1303"/>
      <c r="E928" s="604" t="s">
        <v>419</v>
      </c>
      <c r="F928" s="605"/>
      <c r="G928" s="1222">
        <f>G926-G927*L922</f>
        <v>0</v>
      </c>
      <c r="H928" s="1223"/>
      <c r="I928" s="578" t="s">
        <v>452</v>
      </c>
      <c r="J928" s="1089"/>
      <c r="K928" s="1096"/>
      <c r="L928" s="1070"/>
      <c r="M928" s="1081"/>
      <c r="N928" s="603"/>
      <c r="O928" s="586"/>
      <c r="P928" s="587"/>
      <c r="Q928" s="1266"/>
      <c r="R928" s="1267"/>
      <c r="S928" s="1267"/>
      <c r="T928" s="1268"/>
    </row>
    <row r="929" spans="2:20" ht="19.5" customHeight="1" thickBot="1">
      <c r="B929" s="1304"/>
      <c r="C929" s="1304"/>
      <c r="D929" s="1303"/>
      <c r="E929" s="880" t="s">
        <v>423</v>
      </c>
      <c r="F929" s="613"/>
      <c r="G929" s="1444">
        <f>G927*L922</f>
        <v>0</v>
      </c>
      <c r="H929" s="1445"/>
      <c r="I929" s="593" t="s">
        <v>452</v>
      </c>
      <c r="J929" s="1089"/>
      <c r="K929" s="1096"/>
      <c r="L929" s="1070"/>
      <c r="M929" s="1081"/>
      <c r="N929" s="603"/>
      <c r="O929" s="586"/>
      <c r="P929" s="587"/>
      <c r="Q929" s="1266"/>
      <c r="R929" s="1267"/>
      <c r="S929" s="1267"/>
      <c r="T929" s="1268"/>
    </row>
    <row r="930" spans="2:20" ht="19.5" customHeight="1">
      <c r="B930" s="875"/>
      <c r="C930" s="1308" t="s">
        <v>332</v>
      </c>
      <c r="D930" s="1307" t="s">
        <v>338</v>
      </c>
      <c r="E930" s="599" t="s">
        <v>437</v>
      </c>
      <c r="F930" s="590"/>
      <c r="G930" s="1318">
        <f>IF(G886-G885-O878*L878&lt;0,0,G886-G885-O878*L878)</f>
        <v>2470</v>
      </c>
      <c r="H930" s="1319"/>
      <c r="I930" s="590" t="s">
        <v>452</v>
      </c>
      <c r="J930" s="1089"/>
      <c r="K930" s="1096"/>
      <c r="L930" s="1070"/>
      <c r="M930" s="1081"/>
      <c r="N930" s="603"/>
      <c r="O930" s="586"/>
      <c r="P930" s="587"/>
      <c r="Q930" s="1266"/>
      <c r="R930" s="1267"/>
      <c r="S930" s="1267"/>
      <c r="T930" s="1268"/>
    </row>
    <row r="931" spans="2:20" ht="19.5" customHeight="1">
      <c r="B931" s="875"/>
      <c r="C931" s="1304"/>
      <c r="D931" s="1303"/>
      <c r="E931" s="658" t="s">
        <v>136</v>
      </c>
      <c r="F931" s="578"/>
      <c r="G931" s="1206">
        <f>IF(G930&gt;2,G930-2,0)</f>
        <v>2468</v>
      </c>
      <c r="H931" s="1207"/>
      <c r="I931" s="796" t="s">
        <v>452</v>
      </c>
      <c r="J931" s="1089"/>
      <c r="K931" s="1096"/>
      <c r="L931" s="1070"/>
      <c r="M931" s="1081"/>
      <c r="N931" s="603"/>
      <c r="O931" s="586"/>
      <c r="P931" s="587"/>
      <c r="Q931" s="1266"/>
      <c r="R931" s="1267"/>
      <c r="S931" s="1267"/>
      <c r="T931" s="1268"/>
    </row>
    <row r="932" spans="2:20" ht="19.5" customHeight="1">
      <c r="B932" s="875"/>
      <c r="C932" s="1304"/>
      <c r="D932" s="1303"/>
      <c r="E932" s="600" t="s">
        <v>151</v>
      </c>
      <c r="F932" s="592"/>
      <c r="G932" s="1222">
        <f>LEN('記入シート'!C474)</f>
        <v>0</v>
      </c>
      <c r="H932" s="1223"/>
      <c r="I932" s="578" t="s">
        <v>452</v>
      </c>
      <c r="J932" s="1089"/>
      <c r="K932" s="1096"/>
      <c r="L932" s="1070"/>
      <c r="M932" s="1081"/>
      <c r="N932" s="603"/>
      <c r="O932" s="586"/>
      <c r="P932" s="587"/>
      <c r="Q932" s="1266"/>
      <c r="R932" s="1267"/>
      <c r="S932" s="1267"/>
      <c r="T932" s="1268"/>
    </row>
    <row r="933" spans="2:20" ht="19.5" customHeight="1" thickBot="1">
      <c r="B933" s="875"/>
      <c r="C933" s="1310"/>
      <c r="D933" s="1309"/>
      <c r="E933" s="930" t="s">
        <v>167</v>
      </c>
      <c r="F933" s="607"/>
      <c r="G933" s="1502" t="str">
        <f>IF(G932&gt;G931,"OVER","INSIDE")</f>
        <v>INSIDE</v>
      </c>
      <c r="H933" s="1503"/>
      <c r="I933" s="1504"/>
      <c r="J933" s="1082"/>
      <c r="K933" s="1086"/>
      <c r="L933" s="1071"/>
      <c r="M933" s="1078"/>
      <c r="N933" s="608"/>
      <c r="O933" s="595"/>
      <c r="P933" s="596"/>
      <c r="Q933" s="1269"/>
      <c r="R933" s="1270"/>
      <c r="S933" s="1270"/>
      <c r="T933" s="1271"/>
    </row>
    <row r="934" spans="2:20" ht="19.5" customHeight="1">
      <c r="B934" s="1304" t="s">
        <v>131</v>
      </c>
      <c r="C934" s="1308" t="s">
        <v>400</v>
      </c>
      <c r="D934" s="1307" t="s">
        <v>266</v>
      </c>
      <c r="E934" s="662"/>
      <c r="F934" s="609" t="s">
        <v>455</v>
      </c>
      <c r="G934" s="1438">
        <f>LEN(LEFT('記入シート'!C478,L934))</f>
        <v>0</v>
      </c>
      <c r="H934" s="1439"/>
      <c r="I934" s="612" t="s">
        <v>452</v>
      </c>
      <c r="J934" s="1719" t="s">
        <v>352</v>
      </c>
      <c r="K934" s="1095">
        <f ca="1">CELL("row",'記入シート'!C478)</f>
        <v>478</v>
      </c>
      <c r="L934" s="1070">
        <f>$L$40</f>
        <v>6</v>
      </c>
      <c r="M934" s="1731">
        <f>M922</f>
        <v>130</v>
      </c>
      <c r="N934" s="1626" t="s">
        <v>474</v>
      </c>
      <c r="O934" s="1330">
        <f>SUM(G934:H941)</f>
        <v>0</v>
      </c>
      <c r="P934" s="1727" t="s">
        <v>452</v>
      </c>
      <c r="Q934" s="1554">
        <f>IF(O939=0,REPT("　",O949*L934),CONCATENATE(LEFT('記入シート'!C478,L934),REPT("　",G935),LEFT('記入シート'!C479,L934),REPT("　",G937),LEFT('記入シート'!C480,L934),REPT("　",G939),LEFT('記入シート'!C481,L934),REPT("　",G941),REPT("　",L934*O941)))</f>
      </c>
      <c r="R934" s="313"/>
      <c r="S934" s="313"/>
      <c r="T934" s="313"/>
    </row>
    <row r="935" spans="2:20" ht="19.5" customHeight="1">
      <c r="B935" s="1304"/>
      <c r="C935" s="1304"/>
      <c r="D935" s="1303"/>
      <c r="E935" s="662"/>
      <c r="F935" s="613" t="s">
        <v>458</v>
      </c>
      <c r="G935" s="1222">
        <f>IF(G934=0,0,$L$40-G934)</f>
        <v>0</v>
      </c>
      <c r="H935" s="1223"/>
      <c r="I935" s="593" t="s">
        <v>452</v>
      </c>
      <c r="J935" s="1597"/>
      <c r="K935" s="1096"/>
      <c r="L935" s="1070"/>
      <c r="M935" s="1731"/>
      <c r="N935" s="1626"/>
      <c r="O935" s="1330"/>
      <c r="P935" s="1727"/>
      <c r="Q935" s="1554"/>
      <c r="R935" s="313"/>
      <c r="S935" s="313"/>
      <c r="T935" s="313"/>
    </row>
    <row r="936" spans="2:20" ht="19.5" customHeight="1">
      <c r="B936" s="1304"/>
      <c r="C936" s="1304"/>
      <c r="D936" s="1303"/>
      <c r="E936" s="662"/>
      <c r="F936" s="613" t="s">
        <v>456</v>
      </c>
      <c r="G936" s="1222">
        <f>LEN(LEFT('記入シート'!C479,L934))</f>
        <v>0</v>
      </c>
      <c r="H936" s="1223"/>
      <c r="I936" s="593" t="s">
        <v>452</v>
      </c>
      <c r="J936" s="1597" t="s">
        <v>352</v>
      </c>
      <c r="K936" s="1090">
        <f ca="1">CELL("row",'記入シート'!C479)</f>
        <v>479</v>
      </c>
      <c r="L936" s="1070"/>
      <c r="M936" s="1731"/>
      <c r="N936" s="1626"/>
      <c r="O936" s="1330"/>
      <c r="P936" s="1727"/>
      <c r="Q936" s="1554"/>
      <c r="R936" s="313"/>
      <c r="S936" s="313"/>
      <c r="T936" s="313"/>
    </row>
    <row r="937" spans="2:20" ht="19.5" customHeight="1">
      <c r="B937" s="1304"/>
      <c r="C937" s="1304"/>
      <c r="D937" s="1303"/>
      <c r="E937" s="662" t="s">
        <v>401</v>
      </c>
      <c r="F937" s="613" t="s">
        <v>459</v>
      </c>
      <c r="G937" s="1222">
        <f>IF(G936=0,0,$L$40-G936)</f>
        <v>0</v>
      </c>
      <c r="H937" s="1223"/>
      <c r="I937" s="593" t="s">
        <v>452</v>
      </c>
      <c r="J937" s="1597"/>
      <c r="K937" s="1090"/>
      <c r="L937" s="1070"/>
      <c r="M937" s="1731"/>
      <c r="N937" s="1626"/>
      <c r="O937" s="1330"/>
      <c r="P937" s="1727"/>
      <c r="Q937" s="1549"/>
      <c r="R937" s="313"/>
      <c r="S937" s="313"/>
      <c r="T937" s="313"/>
    </row>
    <row r="938" spans="2:20" ht="19.5" customHeight="1">
      <c r="B938" s="1304"/>
      <c r="C938" s="1304"/>
      <c r="D938" s="1303"/>
      <c r="E938" s="662" t="s">
        <v>292</v>
      </c>
      <c r="F938" s="605" t="s">
        <v>475</v>
      </c>
      <c r="G938" s="1222">
        <f>LEN(LEFT('記入シート'!C480,L934))</f>
        <v>0</v>
      </c>
      <c r="H938" s="1223"/>
      <c r="I938" s="593" t="s">
        <v>452</v>
      </c>
      <c r="J938" s="1624" t="s">
        <v>352</v>
      </c>
      <c r="K938" s="1090">
        <f ca="1">CELL("row",'記入シート'!C480)</f>
        <v>480</v>
      </c>
      <c r="L938" s="1070"/>
      <c r="M938" s="1731"/>
      <c r="N938" s="1627"/>
      <c r="O938" s="1613"/>
      <c r="P938" s="1728"/>
      <c r="Q938" s="320"/>
      <c r="R938" s="313"/>
      <c r="S938" s="313"/>
      <c r="T938" s="313"/>
    </row>
    <row r="939" spans="2:20" ht="19.5" customHeight="1">
      <c r="B939" s="1304"/>
      <c r="C939" s="1304"/>
      <c r="D939" s="1303"/>
      <c r="E939" s="662"/>
      <c r="F939" s="605" t="s">
        <v>476</v>
      </c>
      <c r="G939" s="1222">
        <f>IF(G938=0,0,$L$40-G938)</f>
        <v>0</v>
      </c>
      <c r="H939" s="1223"/>
      <c r="I939" s="593" t="s">
        <v>452</v>
      </c>
      <c r="J939" s="1719"/>
      <c r="K939" s="1090"/>
      <c r="L939" s="1070"/>
      <c r="M939" s="1731"/>
      <c r="N939" s="1601" t="s">
        <v>480</v>
      </c>
      <c r="O939" s="1606">
        <f>O934/$L$40</f>
        <v>0</v>
      </c>
      <c r="P939" s="1604" t="s">
        <v>453</v>
      </c>
      <c r="Q939" s="320"/>
      <c r="R939" s="313"/>
      <c r="S939" s="313"/>
      <c r="T939" s="313"/>
    </row>
    <row r="940" spans="2:20" ht="19.5" customHeight="1">
      <c r="B940" s="1304"/>
      <c r="C940" s="1304"/>
      <c r="D940" s="1303"/>
      <c r="E940" s="662"/>
      <c r="F940" s="605" t="s">
        <v>477</v>
      </c>
      <c r="G940" s="1222">
        <f>LEN(LEFT('記入シート'!C481,L934))</f>
        <v>0</v>
      </c>
      <c r="H940" s="1223"/>
      <c r="I940" s="593" t="s">
        <v>452</v>
      </c>
      <c r="J940" s="1624" t="s">
        <v>352</v>
      </c>
      <c r="K940" s="1090">
        <f ca="1">CELL("row",'記入シート'!C481)</f>
        <v>481</v>
      </c>
      <c r="L940" s="1070"/>
      <c r="M940" s="1731"/>
      <c r="N940" s="1616"/>
      <c r="O940" s="1613"/>
      <c r="P940" s="1584"/>
      <c r="Q940" s="995"/>
      <c r="R940" s="313"/>
      <c r="S940" s="313"/>
      <c r="T940" s="313"/>
    </row>
    <row r="941" spans="2:20" ht="19.5" customHeight="1">
      <c r="B941" s="1304"/>
      <c r="C941" s="1304"/>
      <c r="D941" s="1303"/>
      <c r="E941" s="662"/>
      <c r="F941" s="613" t="s">
        <v>478</v>
      </c>
      <c r="G941" s="1222">
        <f>IF(G940=0,0,$L$40-G940)</f>
        <v>0</v>
      </c>
      <c r="H941" s="1223"/>
      <c r="I941" s="593" t="s">
        <v>452</v>
      </c>
      <c r="J941" s="1089"/>
      <c r="K941" s="1090"/>
      <c r="L941" s="1070"/>
      <c r="M941" s="1731"/>
      <c r="N941" s="645" t="s">
        <v>482</v>
      </c>
      <c r="O941" s="646">
        <f>O949-O939</f>
        <v>0</v>
      </c>
      <c r="P941" s="618" t="s">
        <v>453</v>
      </c>
      <c r="Q941" s="995"/>
      <c r="R941" s="313"/>
      <c r="S941" s="313"/>
      <c r="T941" s="313"/>
    </row>
    <row r="942" spans="2:20" ht="19.5" customHeight="1">
      <c r="B942" s="1304"/>
      <c r="C942" s="1304"/>
      <c r="D942" s="1303"/>
      <c r="E942" s="629"/>
      <c r="F942" s="614"/>
      <c r="G942" s="614"/>
      <c r="H942" s="615"/>
      <c r="I942" s="630"/>
      <c r="J942" s="1012"/>
      <c r="K942" s="630"/>
      <c r="L942" s="631"/>
      <c r="M942" s="632"/>
      <c r="N942" s="1618" t="s">
        <v>124</v>
      </c>
      <c r="O942" s="1620" t="str">
        <f>IF(O939&gt;G922/L922,"OVER","INSIDE")</f>
        <v>INSIDE</v>
      </c>
      <c r="P942" s="1621"/>
      <c r="Q942" s="424"/>
      <c r="R942" s="419"/>
      <c r="S942" s="419"/>
      <c r="T942" s="419"/>
    </row>
    <row r="943" spans="2:20" ht="19.5" customHeight="1" thickBot="1">
      <c r="B943" s="1304"/>
      <c r="C943" s="1304"/>
      <c r="D943" s="1303"/>
      <c r="E943" s="647"/>
      <c r="F943" s="648"/>
      <c r="G943" s="648"/>
      <c r="H943" s="649"/>
      <c r="I943" s="650"/>
      <c r="J943" s="1013"/>
      <c r="K943" s="650"/>
      <c r="L943" s="651"/>
      <c r="M943" s="652"/>
      <c r="N943" s="1619"/>
      <c r="O943" s="1622"/>
      <c r="P943" s="1623"/>
      <c r="Q943" s="424"/>
      <c r="R943" s="419"/>
      <c r="S943" s="419"/>
      <c r="T943" s="419"/>
    </row>
    <row r="944" spans="2:20" ht="19.5" customHeight="1">
      <c r="B944" s="1304" t="s">
        <v>131</v>
      </c>
      <c r="C944" s="1304" t="s">
        <v>400</v>
      </c>
      <c r="D944" s="1303" t="s">
        <v>266</v>
      </c>
      <c r="E944" s="661"/>
      <c r="F944" s="626" t="s">
        <v>455</v>
      </c>
      <c r="G944" s="1318">
        <f>LEN(LEFT('記入シート'!C484,L944))</f>
        <v>0</v>
      </c>
      <c r="H944" s="1319"/>
      <c r="I944" s="627" t="s">
        <v>452</v>
      </c>
      <c r="J944" s="1617" t="s">
        <v>352</v>
      </c>
      <c r="K944" s="1095">
        <f ca="1">CELL("row",'記入シート'!C484)</f>
        <v>484</v>
      </c>
      <c r="L944" s="1326">
        <f>$L$49</f>
        <v>6</v>
      </c>
      <c r="M944" s="1615">
        <f>M922</f>
        <v>130</v>
      </c>
      <c r="N944" s="1625" t="s">
        <v>484</v>
      </c>
      <c r="O944" s="1329">
        <f>SUM(G944:H947)</f>
        <v>0</v>
      </c>
      <c r="P944" s="1331" t="s">
        <v>452</v>
      </c>
      <c r="Q944" s="1548">
        <f>IF(O947=0,REPT("　",O949*L944),CONCATENATE(LEFT('記入シート'!C484,L944),REPT("　",G945),LEFT('記入シート'!C485,L944),REPT("　",G947),REPT("　",L944*O952)))</f>
      </c>
      <c r="R944" s="419"/>
      <c r="S944" s="419"/>
      <c r="T944" s="419"/>
    </row>
    <row r="945" spans="2:20" ht="19.5" customHeight="1">
      <c r="B945" s="1304"/>
      <c r="C945" s="1304"/>
      <c r="D945" s="1303"/>
      <c r="E945" s="662" t="s">
        <v>402</v>
      </c>
      <c r="F945" s="613" t="s">
        <v>458</v>
      </c>
      <c r="G945" s="1222">
        <f>IF(G944=0,0,$L$49-G944)</f>
        <v>0</v>
      </c>
      <c r="H945" s="1223"/>
      <c r="I945" s="593" t="s">
        <v>452</v>
      </c>
      <c r="J945" s="1597"/>
      <c r="K945" s="1091"/>
      <c r="L945" s="1070"/>
      <c r="M945" s="1603"/>
      <c r="N945" s="1626"/>
      <c r="O945" s="1330"/>
      <c r="P945" s="1332"/>
      <c r="Q945" s="1549"/>
      <c r="R945" s="419"/>
      <c r="S945" s="419"/>
      <c r="T945" s="419"/>
    </row>
    <row r="946" spans="2:20" ht="19.5" customHeight="1">
      <c r="B946" s="1304"/>
      <c r="C946" s="1304"/>
      <c r="D946" s="1303"/>
      <c r="E946" s="662" t="s">
        <v>292</v>
      </c>
      <c r="F946" s="613" t="s">
        <v>456</v>
      </c>
      <c r="G946" s="1222">
        <f>LEN(LEFT('記入シート'!C485,L944))</f>
        <v>0</v>
      </c>
      <c r="H946" s="1223"/>
      <c r="I946" s="593" t="s">
        <v>452</v>
      </c>
      <c r="J946" s="1624" t="s">
        <v>352</v>
      </c>
      <c r="K946" s="1092">
        <f ca="1">CELL("row",'記入シート'!C485)</f>
        <v>485</v>
      </c>
      <c r="L946" s="1070"/>
      <c r="M946" s="1603"/>
      <c r="N946" s="1627"/>
      <c r="O946" s="1613"/>
      <c r="P946" s="1584"/>
      <c r="Q946" s="424"/>
      <c r="R946" s="419"/>
      <c r="S946" s="419"/>
      <c r="T946" s="419"/>
    </row>
    <row r="947" spans="2:20" ht="19.5" customHeight="1">
      <c r="B947" s="1304"/>
      <c r="C947" s="1304"/>
      <c r="D947" s="1303"/>
      <c r="E947" s="662"/>
      <c r="F947" s="605" t="s">
        <v>459</v>
      </c>
      <c r="G947" s="1222">
        <f>IF(G946=0,0,$L$49-G946)</f>
        <v>0</v>
      </c>
      <c r="H947" s="1223"/>
      <c r="I947" s="578" t="s">
        <v>452</v>
      </c>
      <c r="J947" s="1719"/>
      <c r="K947" s="1084"/>
      <c r="L947" s="1609"/>
      <c r="M947" s="1603"/>
      <c r="N947" s="1601" t="s">
        <v>479</v>
      </c>
      <c r="O947" s="1606">
        <f>O944/$L$49</f>
        <v>0</v>
      </c>
      <c r="P947" s="1604" t="s">
        <v>453</v>
      </c>
      <c r="Q947" s="424"/>
      <c r="R947" s="419"/>
      <c r="S947" s="419"/>
      <c r="T947" s="419"/>
    </row>
    <row r="948" spans="2:20" ht="19.5" customHeight="1">
      <c r="B948" s="1304"/>
      <c r="C948" s="1304"/>
      <c r="D948" s="1303"/>
      <c r="E948" s="629"/>
      <c r="F948" s="614"/>
      <c r="G948" s="614"/>
      <c r="H948" s="615"/>
      <c r="I948" s="630"/>
      <c r="J948" s="1012"/>
      <c r="K948" s="630"/>
      <c r="L948" s="631"/>
      <c r="M948" s="631"/>
      <c r="N948" s="1328"/>
      <c r="O948" s="1330"/>
      <c r="P948" s="1332"/>
      <c r="Q948" s="424"/>
      <c r="R948" s="419"/>
      <c r="S948" s="419"/>
      <c r="T948" s="419"/>
    </row>
    <row r="949" spans="2:20" ht="19.5" customHeight="1">
      <c r="B949" s="1304"/>
      <c r="C949" s="1304"/>
      <c r="D949" s="1303"/>
      <c r="E949" s="629"/>
      <c r="F949" s="610"/>
      <c r="G949" s="610"/>
      <c r="H949" s="611"/>
      <c r="I949" s="633"/>
      <c r="J949" s="1014"/>
      <c r="K949" s="633"/>
      <c r="L949" s="634"/>
      <c r="M949" s="634"/>
      <c r="N949" s="1601" t="s">
        <v>483</v>
      </c>
      <c r="O949" s="1606">
        <f>MAX(G927,O939,O947)</f>
        <v>0</v>
      </c>
      <c r="P949" s="1604" t="s">
        <v>453</v>
      </c>
      <c r="Q949" s="424"/>
      <c r="R949" s="419"/>
      <c r="S949" s="419"/>
      <c r="T949" s="419"/>
    </row>
    <row r="950" spans="2:20" ht="19.5" customHeight="1">
      <c r="B950" s="1304"/>
      <c r="C950" s="1304"/>
      <c r="D950" s="1303"/>
      <c r="E950" s="629"/>
      <c r="F950" s="610"/>
      <c r="G950" s="610"/>
      <c r="H950" s="611"/>
      <c r="I950" s="633"/>
      <c r="J950" s="1014"/>
      <c r="K950" s="633"/>
      <c r="L950" s="634"/>
      <c r="M950" s="634"/>
      <c r="N950" s="1328"/>
      <c r="O950" s="1330"/>
      <c r="P950" s="1332"/>
      <c r="Q950" s="424"/>
      <c r="R950" s="419"/>
      <c r="S950" s="419"/>
      <c r="T950" s="419"/>
    </row>
    <row r="951" spans="2:20" ht="19.5" customHeight="1">
      <c r="B951" s="1304"/>
      <c r="C951" s="1304"/>
      <c r="D951" s="1303"/>
      <c r="E951" s="629"/>
      <c r="F951" s="610"/>
      <c r="G951" s="610"/>
      <c r="H951" s="611"/>
      <c r="I951" s="633"/>
      <c r="J951" s="1014"/>
      <c r="K951" s="633"/>
      <c r="L951" s="634"/>
      <c r="M951" s="634"/>
      <c r="N951" s="1616"/>
      <c r="O951" s="1613"/>
      <c r="P951" s="1584"/>
      <c r="Q951" s="424"/>
      <c r="R951" s="419"/>
      <c r="S951" s="419"/>
      <c r="T951" s="419"/>
    </row>
    <row r="952" spans="2:20" ht="19.5" customHeight="1">
      <c r="B952" s="1304"/>
      <c r="C952" s="1304"/>
      <c r="D952" s="1303"/>
      <c r="E952" s="629"/>
      <c r="F952" s="610"/>
      <c r="G952" s="610"/>
      <c r="H952" s="611"/>
      <c r="I952" s="633"/>
      <c r="J952" s="1014"/>
      <c r="K952" s="633"/>
      <c r="L952" s="634"/>
      <c r="M952" s="634"/>
      <c r="N952" s="617" t="s">
        <v>485</v>
      </c>
      <c r="O952" s="586">
        <f>O949-O947</f>
        <v>0</v>
      </c>
      <c r="P952" s="601" t="s">
        <v>453</v>
      </c>
      <c r="Q952" s="424"/>
      <c r="R952" s="419"/>
      <c r="S952" s="419"/>
      <c r="T952" s="419"/>
    </row>
    <row r="953" spans="2:20" ht="19.5" customHeight="1">
      <c r="B953" s="1304"/>
      <c r="C953" s="1304"/>
      <c r="D953" s="1303"/>
      <c r="E953" s="629"/>
      <c r="F953" s="610"/>
      <c r="G953" s="610"/>
      <c r="H953" s="611"/>
      <c r="I953" s="633"/>
      <c r="J953" s="1014"/>
      <c r="K953" s="633"/>
      <c r="L953" s="634"/>
      <c r="M953" s="634"/>
      <c r="N953" s="1618" t="s">
        <v>125</v>
      </c>
      <c r="O953" s="1620" t="str">
        <f>IF(O947&gt;G922/L922,"OVER","INSIDE")</f>
        <v>INSIDE</v>
      </c>
      <c r="P953" s="1621"/>
      <c r="Q953" s="424"/>
      <c r="R953" s="419"/>
      <c r="S953" s="419"/>
      <c r="T953" s="419"/>
    </row>
    <row r="954" spans="2:20" ht="19.5" customHeight="1" thickBot="1">
      <c r="B954" s="1304"/>
      <c r="C954" s="1304"/>
      <c r="D954" s="1303"/>
      <c r="E954" s="629"/>
      <c r="F954" s="610"/>
      <c r="G954" s="610"/>
      <c r="H954" s="611"/>
      <c r="I954" s="633"/>
      <c r="J954" s="1014"/>
      <c r="K954" s="633"/>
      <c r="L954" s="634"/>
      <c r="M954" s="634"/>
      <c r="N954" s="1619"/>
      <c r="O954" s="1622"/>
      <c r="P954" s="1623"/>
      <c r="Q954" s="424"/>
      <c r="R954" s="419"/>
      <c r="S954" s="419"/>
      <c r="T954" s="419"/>
    </row>
    <row r="955" spans="2:20" ht="19.5" customHeight="1">
      <c r="B955" s="1304" t="s">
        <v>131</v>
      </c>
      <c r="C955" s="1304" t="s">
        <v>400</v>
      </c>
      <c r="D955" s="1303" t="s">
        <v>266</v>
      </c>
      <c r="E955" s="661"/>
      <c r="F955" s="636" t="s">
        <v>1</v>
      </c>
      <c r="G955" s="1318">
        <f>LEN(LEFT('記入シート'!D488,2))</f>
        <v>0</v>
      </c>
      <c r="H955" s="1319"/>
      <c r="I955" s="627" t="s">
        <v>452</v>
      </c>
      <c r="J955" s="1617" t="s">
        <v>353</v>
      </c>
      <c r="K955" s="1085">
        <f ca="1">CELL("row",'記入シート'!D488)</f>
        <v>488</v>
      </c>
      <c r="L955" s="1614">
        <v>2</v>
      </c>
      <c r="M955" s="1615">
        <f>M922</f>
        <v>130</v>
      </c>
      <c r="N955" s="1612" t="s">
        <v>8</v>
      </c>
      <c r="O955" s="1329">
        <f>IF(G955=0,0,1)</f>
        <v>0</v>
      </c>
      <c r="P955" s="1331" t="s">
        <v>453</v>
      </c>
      <c r="Q955" s="503" t="s">
        <v>6</v>
      </c>
      <c r="R955" s="419"/>
      <c r="S955" s="419"/>
      <c r="T955" s="419"/>
    </row>
    <row r="956" spans="2:20" ht="19.5" customHeight="1">
      <c r="B956" s="1304"/>
      <c r="C956" s="1304"/>
      <c r="D956" s="1303"/>
      <c r="E956" s="662"/>
      <c r="F956" s="613" t="s">
        <v>2</v>
      </c>
      <c r="G956" s="1222">
        <f>$L$58-G955</f>
        <v>2</v>
      </c>
      <c r="H956" s="1223"/>
      <c r="I956" s="593" t="s">
        <v>452</v>
      </c>
      <c r="J956" s="1597"/>
      <c r="K956" s="1084"/>
      <c r="L956" s="1599"/>
      <c r="M956" s="1611"/>
      <c r="N956" s="1596"/>
      <c r="O956" s="1613"/>
      <c r="P956" s="1584"/>
      <c r="Q956" s="986">
        <f>IF(G933="OVER","",IF(G926=0,"",IF(O955=0,REPT("　",5*O957),CONCATENATE(REPT("　",G956),LEFT('記入シート'!D488,L955),"／",REPT("　",G958),LEFT('記入シート'!G488,L957),REPT("　",5*O957)))))</f>
      </c>
      <c r="R956" s="419"/>
      <c r="S956" s="419"/>
      <c r="T956" s="419"/>
    </row>
    <row r="957" spans="2:20" ht="19.5" customHeight="1">
      <c r="B957" s="1304"/>
      <c r="C957" s="1304"/>
      <c r="D957" s="1303"/>
      <c r="E957" s="662"/>
      <c r="F957" s="613" t="s">
        <v>3</v>
      </c>
      <c r="G957" s="1222">
        <f>LEN(LEFT('記入シート'!G488,2))</f>
        <v>0</v>
      </c>
      <c r="H957" s="1223"/>
      <c r="I957" s="593" t="s">
        <v>452</v>
      </c>
      <c r="J957" s="1597" t="s">
        <v>354</v>
      </c>
      <c r="K957" s="1093">
        <f ca="1">CELL("row",'記入シート'!G488)</f>
        <v>488</v>
      </c>
      <c r="L957" s="1599">
        <v>2</v>
      </c>
      <c r="M957" s="1603">
        <f>M922</f>
        <v>130</v>
      </c>
      <c r="N957" s="1601" t="s">
        <v>9</v>
      </c>
      <c r="O957" s="1606">
        <f>IF(O949=0,0,O949-O955)</f>
        <v>0</v>
      </c>
      <c r="P957" s="1604" t="s">
        <v>453</v>
      </c>
      <c r="Q957" s="987"/>
      <c r="R957" s="419"/>
      <c r="S957" s="419"/>
      <c r="T957" s="419"/>
    </row>
    <row r="958" spans="2:20" ht="19.5" customHeight="1">
      <c r="B958" s="1304"/>
      <c r="C958" s="1304"/>
      <c r="D958" s="1303"/>
      <c r="E958" s="662" t="s">
        <v>403</v>
      </c>
      <c r="F958" s="613" t="s">
        <v>461</v>
      </c>
      <c r="G958" s="1222">
        <f>$L$60-G957</f>
        <v>2</v>
      </c>
      <c r="H958" s="1223"/>
      <c r="I958" s="593" t="s">
        <v>452</v>
      </c>
      <c r="J958" s="1597"/>
      <c r="K958" s="1084"/>
      <c r="L958" s="1599"/>
      <c r="M958" s="1603"/>
      <c r="N958" s="1616"/>
      <c r="O958" s="1613"/>
      <c r="P958" s="1584"/>
      <c r="Q958" s="988"/>
      <c r="R958" s="419"/>
      <c r="S958" s="419"/>
      <c r="T958" s="419"/>
    </row>
    <row r="959" spans="2:20" ht="19.5" customHeight="1">
      <c r="B959" s="1304"/>
      <c r="C959" s="1304"/>
      <c r="D959" s="1303"/>
      <c r="E959" s="662" t="s">
        <v>292</v>
      </c>
      <c r="F959" s="613" t="s">
        <v>4</v>
      </c>
      <c r="G959" s="1222">
        <f>LEN(LEFT('記入シート'!N488,2))</f>
        <v>0</v>
      </c>
      <c r="H959" s="1223"/>
      <c r="I959" s="593" t="s">
        <v>452</v>
      </c>
      <c r="J959" s="1597" t="s">
        <v>355</v>
      </c>
      <c r="K959" s="1093">
        <f ca="1">CELL("row",'記入シート'!N488)</f>
        <v>488</v>
      </c>
      <c r="L959" s="1599">
        <v>2</v>
      </c>
      <c r="M959" s="1603">
        <f>M922</f>
        <v>130</v>
      </c>
      <c r="N959" s="1595" t="s">
        <v>178</v>
      </c>
      <c r="O959" s="1606">
        <f>IF(G959=0,0,1)</f>
        <v>0</v>
      </c>
      <c r="P959" s="1604" t="s">
        <v>453</v>
      </c>
      <c r="Q959" s="503" t="s">
        <v>7</v>
      </c>
      <c r="R959" s="419"/>
      <c r="S959" s="419"/>
      <c r="T959" s="419"/>
    </row>
    <row r="960" spans="2:20" ht="19.5" customHeight="1">
      <c r="B960" s="1304"/>
      <c r="C960" s="1304"/>
      <c r="D960" s="1303"/>
      <c r="E960" s="662"/>
      <c r="F960" s="613" t="s">
        <v>5</v>
      </c>
      <c r="G960" s="1222">
        <f>$L$62-G959</f>
        <v>2</v>
      </c>
      <c r="H960" s="1223"/>
      <c r="I960" s="593" t="s">
        <v>452</v>
      </c>
      <c r="J960" s="1597"/>
      <c r="K960" s="1084"/>
      <c r="L960" s="1599"/>
      <c r="M960" s="1603"/>
      <c r="N960" s="1596"/>
      <c r="O960" s="1613"/>
      <c r="P960" s="1584"/>
      <c r="Q960" s="986">
        <f>IF(G933="OVER","",IF(G926=0,"",IF(O959=0,REPT("　",5*O961),CONCATENATE(REPT("　",G960),LEFT('記入シート'!N488,L959),"／",REPT("　",G962),LEFT('記入シート'!Q488,L961),REPT("　",5*O961)))))</f>
      </c>
      <c r="R960" s="419"/>
      <c r="S960" s="419"/>
      <c r="T960" s="419"/>
    </row>
    <row r="961" spans="2:20" ht="19.5" customHeight="1">
      <c r="B961" s="1304"/>
      <c r="C961" s="1304"/>
      <c r="D961" s="1303"/>
      <c r="E961" s="662"/>
      <c r="F961" s="613" t="s">
        <v>462</v>
      </c>
      <c r="G961" s="1222">
        <f>LEN(LEFT('記入シート'!Q488,2))</f>
        <v>0</v>
      </c>
      <c r="H961" s="1223"/>
      <c r="I961" s="593" t="s">
        <v>452</v>
      </c>
      <c r="J961" s="1597" t="s">
        <v>356</v>
      </c>
      <c r="K961" s="1093">
        <f ca="1">CELL("row",'記入シート'!Q488)</f>
        <v>488</v>
      </c>
      <c r="L961" s="1599">
        <v>2</v>
      </c>
      <c r="M961" s="1603">
        <f>M922</f>
        <v>130</v>
      </c>
      <c r="N961" s="1601" t="s">
        <v>179</v>
      </c>
      <c r="O961" s="1606">
        <f>IF(O949=0,0,O949-O959)</f>
        <v>0</v>
      </c>
      <c r="P961" s="1604" t="s">
        <v>453</v>
      </c>
      <c r="Q961" s="987"/>
      <c r="R961" s="419"/>
      <c r="S961" s="419"/>
      <c r="T961" s="419"/>
    </row>
    <row r="962" spans="2:20" ht="19.5" customHeight="1" thickBot="1">
      <c r="B962" s="1304"/>
      <c r="C962" s="1304"/>
      <c r="D962" s="1303"/>
      <c r="E962" s="663"/>
      <c r="F962" s="613" t="s">
        <v>463</v>
      </c>
      <c r="G962" s="1444">
        <f>$L$64-G961</f>
        <v>2</v>
      </c>
      <c r="H962" s="1445"/>
      <c r="I962" s="593" t="s">
        <v>452</v>
      </c>
      <c r="J962" s="1598"/>
      <c r="K962" s="1094"/>
      <c r="L962" s="1600"/>
      <c r="M962" s="1611"/>
      <c r="N962" s="1602"/>
      <c r="O962" s="1607"/>
      <c r="P962" s="1605"/>
      <c r="Q962" s="989"/>
      <c r="R962" s="419"/>
      <c r="S962" s="419"/>
      <c r="T962" s="419"/>
    </row>
    <row r="963" spans="2:20" ht="19.5" customHeight="1">
      <c r="B963" s="1304"/>
      <c r="C963" s="1304"/>
      <c r="D963" s="1303" t="s">
        <v>266</v>
      </c>
      <c r="E963" s="661" t="s">
        <v>404</v>
      </c>
      <c r="F963" s="626" t="s">
        <v>420</v>
      </c>
      <c r="G963" s="1318">
        <f>LEN(LEFT('記入シート'!C491,L963))</f>
        <v>0</v>
      </c>
      <c r="H963" s="1319"/>
      <c r="I963" s="627" t="s">
        <v>452</v>
      </c>
      <c r="J963" s="1313" t="s">
        <v>352</v>
      </c>
      <c r="K963" s="1095">
        <f ca="1">CELL("row",'記入シート'!C491)</f>
        <v>491</v>
      </c>
      <c r="L963" s="1326">
        <f>$L$66</f>
        <v>1</v>
      </c>
      <c r="M963" s="1083">
        <f>M922</f>
        <v>130</v>
      </c>
      <c r="N963" s="1612" t="s">
        <v>10</v>
      </c>
      <c r="O963" s="1329">
        <f>IF(G963=0,0,1)</f>
        <v>0</v>
      </c>
      <c r="P963" s="1331" t="s">
        <v>453</v>
      </c>
      <c r="Q963" s="639">
        <f>IF(G933="OVER","",IF(G924=0,"",CONCATENATE(LEFT('記入シート'!C491,1),REPT("　",O965))))</f>
      </c>
      <c r="R963" s="419"/>
      <c r="S963" s="419"/>
      <c r="T963" s="419"/>
    </row>
    <row r="964" spans="2:20" ht="19.5" customHeight="1">
      <c r="B964" s="1304"/>
      <c r="C964" s="1304"/>
      <c r="D964" s="1303"/>
      <c r="E964" s="662" t="s">
        <v>292</v>
      </c>
      <c r="F964" s="613" t="s">
        <v>460</v>
      </c>
      <c r="G964" s="1222">
        <f>$L$66-G963</f>
        <v>1</v>
      </c>
      <c r="H964" s="1223"/>
      <c r="I964" s="593" t="s">
        <v>452</v>
      </c>
      <c r="J964" s="1089"/>
      <c r="K964" s="1096"/>
      <c r="L964" s="1070"/>
      <c r="M964" s="1081"/>
      <c r="N964" s="1596"/>
      <c r="O964" s="1613"/>
      <c r="P964" s="1584"/>
      <c r="Q964" s="424"/>
      <c r="R964" s="419"/>
      <c r="S964" s="419"/>
      <c r="T964" s="419"/>
    </row>
    <row r="965" spans="2:20" ht="19.5" customHeight="1" thickBot="1">
      <c r="B965" s="1305"/>
      <c r="C965" s="1305"/>
      <c r="D965" s="1306"/>
      <c r="E965" s="664"/>
      <c r="F965" s="640" t="s">
        <v>158</v>
      </c>
      <c r="G965" s="641" t="s">
        <v>159</v>
      </c>
      <c r="H965" s="452">
        <f>WIDECHAR('記入シート'!C491)</f>
      </c>
      <c r="I965" s="642" t="s">
        <v>160</v>
      </c>
      <c r="J965" s="1608"/>
      <c r="K965" s="1097"/>
      <c r="L965" s="1720"/>
      <c r="M965" s="1721"/>
      <c r="N965" s="653" t="s">
        <v>486</v>
      </c>
      <c r="O965" s="654">
        <f>IF(O949=0,0,O949-O963)</f>
        <v>0</v>
      </c>
      <c r="P965" s="655" t="s">
        <v>453</v>
      </c>
      <c r="Q965" s="462"/>
      <c r="R965" s="463"/>
      <c r="S965" s="463"/>
      <c r="T965" s="463"/>
    </row>
    <row r="966" spans="2:20" ht="19.5" customHeight="1" thickTop="1">
      <c r="B966" s="1312" t="s">
        <v>132</v>
      </c>
      <c r="C966" s="1312" t="s">
        <v>400</v>
      </c>
      <c r="D966" s="1311" t="s">
        <v>98</v>
      </c>
      <c r="E966" s="928" t="s">
        <v>437</v>
      </c>
      <c r="F966" s="923"/>
      <c r="G966" s="1442">
        <f>IF(G922-G929-O922*L922&lt;0,0,G922-G929-O922*L922)</f>
        <v>2470</v>
      </c>
      <c r="H966" s="1443"/>
      <c r="I966" s="923" t="s">
        <v>452</v>
      </c>
      <c r="J966" s="1313" t="s">
        <v>351</v>
      </c>
      <c r="K966" s="1095">
        <f ca="1">CELL("row",'記入シート'!C496)</f>
        <v>496</v>
      </c>
      <c r="L966" s="1314">
        <f>$L$32</f>
        <v>19</v>
      </c>
      <c r="M966" s="1315">
        <f>G974/L966</f>
        <v>130</v>
      </c>
      <c r="N966" s="1722" t="s">
        <v>481</v>
      </c>
      <c r="O966" s="1729">
        <f>O993-G971</f>
        <v>0</v>
      </c>
      <c r="P966" s="1730" t="s">
        <v>453</v>
      </c>
      <c r="Q966" s="1263">
        <f>IF(G970=0,REPT("　",O966*L966),CONCATENATE("④　",'記入シート'!C496,REPT("　",O966*L966+ABS(G972))))</f>
      </c>
      <c r="R966" s="1264"/>
      <c r="S966" s="1264"/>
      <c r="T966" s="1265"/>
    </row>
    <row r="967" spans="2:20" ht="19.5" customHeight="1">
      <c r="B967" s="1304"/>
      <c r="C967" s="1304"/>
      <c r="D967" s="1303"/>
      <c r="E967" s="929" t="s">
        <v>137</v>
      </c>
      <c r="F967" s="926"/>
      <c r="G967" s="1436">
        <f>IF(G966&gt;2,G966-2,0)</f>
        <v>2468</v>
      </c>
      <c r="H967" s="1437"/>
      <c r="I967" s="926" t="s">
        <v>452</v>
      </c>
      <c r="J967" s="1089"/>
      <c r="K967" s="1096"/>
      <c r="L967" s="1070"/>
      <c r="M967" s="1081"/>
      <c r="N967" s="1328"/>
      <c r="O967" s="1330"/>
      <c r="P967" s="1332"/>
      <c r="Q967" s="1266"/>
      <c r="R967" s="1267"/>
      <c r="S967" s="1267"/>
      <c r="T967" s="1268"/>
    </row>
    <row r="968" spans="2:20" ht="19.5" customHeight="1">
      <c r="B968" s="1304"/>
      <c r="C968" s="1304"/>
      <c r="D968" s="1303"/>
      <c r="E968" s="929" t="s">
        <v>152</v>
      </c>
      <c r="F968" s="926"/>
      <c r="G968" s="1436">
        <f>LEN('記入シート'!C496)</f>
        <v>0</v>
      </c>
      <c r="H968" s="1437"/>
      <c r="I968" s="920" t="s">
        <v>452</v>
      </c>
      <c r="J968" s="1089"/>
      <c r="K968" s="1096"/>
      <c r="L968" s="1070"/>
      <c r="M968" s="1081"/>
      <c r="N968" s="1616"/>
      <c r="O968" s="1613"/>
      <c r="P968" s="1584"/>
      <c r="Q968" s="1266"/>
      <c r="R968" s="1267"/>
      <c r="S968" s="1267"/>
      <c r="T968" s="1268"/>
    </row>
    <row r="969" spans="2:20" ht="19.5" customHeight="1">
      <c r="B969" s="1304"/>
      <c r="C969" s="1304"/>
      <c r="D969" s="1303"/>
      <c r="E969" s="929" t="s">
        <v>167</v>
      </c>
      <c r="F969" s="926"/>
      <c r="G969" s="1354" t="str">
        <f>IF(G968&gt;G967,"OVER","INSIDE")</f>
        <v>INSIDE</v>
      </c>
      <c r="H969" s="1355"/>
      <c r="I969" s="1356"/>
      <c r="J969" s="1089"/>
      <c r="K969" s="1096"/>
      <c r="L969" s="1070"/>
      <c r="M969" s="1081"/>
      <c r="N969" s="603"/>
      <c r="O969" s="586"/>
      <c r="P969" s="587"/>
      <c r="Q969" s="1266"/>
      <c r="R969" s="1267"/>
      <c r="S969" s="1267"/>
      <c r="T969" s="1268"/>
    </row>
    <row r="970" spans="2:20" ht="19.5" customHeight="1">
      <c r="B970" s="1304"/>
      <c r="C970" s="1304"/>
      <c r="D970" s="1303"/>
      <c r="E970" s="600" t="s">
        <v>156</v>
      </c>
      <c r="F970" s="592"/>
      <c r="G970" s="1222">
        <f>IF(G968=0,0,IF(G969="OVER",0,G968+2))</f>
        <v>0</v>
      </c>
      <c r="H970" s="1223"/>
      <c r="I970" s="578" t="s">
        <v>452</v>
      </c>
      <c r="J970" s="1089"/>
      <c r="K970" s="1096"/>
      <c r="L970" s="1070"/>
      <c r="M970" s="1081"/>
      <c r="N970" s="603"/>
      <c r="O970" s="586"/>
      <c r="P970" s="587"/>
      <c r="Q970" s="1266"/>
      <c r="R970" s="1267"/>
      <c r="S970" s="1267"/>
      <c r="T970" s="1268"/>
    </row>
    <row r="971" spans="2:20" ht="19.5" customHeight="1">
      <c r="B971" s="1304"/>
      <c r="C971" s="1304"/>
      <c r="D971" s="1303"/>
      <c r="E971" s="604" t="s">
        <v>451</v>
      </c>
      <c r="F971" s="605"/>
      <c r="G971" s="1222">
        <f>ROUNDUP(G970/L966,0)</f>
        <v>0</v>
      </c>
      <c r="H971" s="1223"/>
      <c r="I971" s="578" t="s">
        <v>453</v>
      </c>
      <c r="J971" s="1089"/>
      <c r="K971" s="1096"/>
      <c r="L971" s="1070"/>
      <c r="M971" s="1081"/>
      <c r="N971" s="603"/>
      <c r="O971" s="586"/>
      <c r="P971" s="587"/>
      <c r="Q971" s="1266"/>
      <c r="R971" s="1267"/>
      <c r="S971" s="1267"/>
      <c r="T971" s="1268"/>
    </row>
    <row r="972" spans="2:20" ht="19.5" customHeight="1">
      <c r="B972" s="1304"/>
      <c r="C972" s="1304"/>
      <c r="D972" s="1303"/>
      <c r="E972" s="604" t="s">
        <v>419</v>
      </c>
      <c r="F972" s="605"/>
      <c r="G972" s="1222">
        <f>G970-G971*L966</f>
        <v>0</v>
      </c>
      <c r="H972" s="1223"/>
      <c r="I972" s="578" t="s">
        <v>452</v>
      </c>
      <c r="J972" s="1089"/>
      <c r="K972" s="1096"/>
      <c r="L972" s="1070"/>
      <c r="M972" s="1081"/>
      <c r="N972" s="603"/>
      <c r="O972" s="586"/>
      <c r="P972" s="587"/>
      <c r="Q972" s="1266"/>
      <c r="R972" s="1267"/>
      <c r="S972" s="1267"/>
      <c r="T972" s="1268"/>
    </row>
    <row r="973" spans="2:20" ht="19.5" customHeight="1" thickBot="1">
      <c r="B973" s="1304"/>
      <c r="C973" s="1310"/>
      <c r="D973" s="1309"/>
      <c r="E973" s="880" t="s">
        <v>423</v>
      </c>
      <c r="F973" s="613"/>
      <c r="G973" s="1316">
        <f>G971*L966</f>
        <v>0</v>
      </c>
      <c r="H973" s="1317"/>
      <c r="I973" s="593" t="s">
        <v>452</v>
      </c>
      <c r="J973" s="1089"/>
      <c r="K973" s="1096"/>
      <c r="L973" s="1070"/>
      <c r="M973" s="1081"/>
      <c r="N973" s="603"/>
      <c r="O973" s="586"/>
      <c r="P973" s="587"/>
      <c r="Q973" s="1266"/>
      <c r="R973" s="1267"/>
      <c r="S973" s="1267"/>
      <c r="T973" s="1268"/>
    </row>
    <row r="974" spans="2:20" ht="19.5" customHeight="1">
      <c r="B974" s="1304" t="s">
        <v>132</v>
      </c>
      <c r="C974" s="1308" t="s">
        <v>332</v>
      </c>
      <c r="D974" s="1307" t="s">
        <v>267</v>
      </c>
      <c r="E974" s="599" t="s">
        <v>437</v>
      </c>
      <c r="F974" s="590"/>
      <c r="G974" s="1318">
        <f>IF(G930-G929-O922*L922&lt;0,0,G930-G929-O922*L130)</f>
        <v>2470</v>
      </c>
      <c r="H974" s="1319"/>
      <c r="I974" s="590" t="s">
        <v>452</v>
      </c>
      <c r="J974" s="1089"/>
      <c r="K974" s="1096"/>
      <c r="L974" s="1070"/>
      <c r="M974" s="1081"/>
      <c r="N974" s="603"/>
      <c r="O974" s="586"/>
      <c r="P974" s="587"/>
      <c r="Q974" s="1266"/>
      <c r="R974" s="1267"/>
      <c r="S974" s="1267"/>
      <c r="T974" s="1268"/>
    </row>
    <row r="975" spans="2:20" ht="19.5" customHeight="1">
      <c r="B975" s="1304"/>
      <c r="C975" s="1304"/>
      <c r="D975" s="1303"/>
      <c r="E975" s="658" t="s">
        <v>137</v>
      </c>
      <c r="F975" s="578"/>
      <c r="G975" s="1206">
        <f>IF(G974&gt;2,G974-2,0)</f>
        <v>2468</v>
      </c>
      <c r="H975" s="1207"/>
      <c r="I975" s="796" t="s">
        <v>452</v>
      </c>
      <c r="J975" s="1089"/>
      <c r="K975" s="1096"/>
      <c r="L975" s="1070"/>
      <c r="M975" s="1081"/>
      <c r="N975" s="603"/>
      <c r="O975" s="586"/>
      <c r="P975" s="587"/>
      <c r="Q975" s="1266"/>
      <c r="R975" s="1267"/>
      <c r="S975" s="1267"/>
      <c r="T975" s="1268"/>
    </row>
    <row r="976" spans="2:20" ht="19.5" customHeight="1">
      <c r="B976" s="1304"/>
      <c r="C976" s="1304"/>
      <c r="D976" s="1303"/>
      <c r="E976" s="600" t="s">
        <v>152</v>
      </c>
      <c r="F976" s="592"/>
      <c r="G976" s="1222">
        <f>LEN('記入シート'!C496)</f>
        <v>0</v>
      </c>
      <c r="H976" s="1223"/>
      <c r="I976" s="578" t="s">
        <v>452</v>
      </c>
      <c r="J976" s="1089"/>
      <c r="K976" s="1096"/>
      <c r="L976" s="1070"/>
      <c r="M976" s="1081"/>
      <c r="N976" s="603"/>
      <c r="O976" s="586"/>
      <c r="P976" s="587"/>
      <c r="Q976" s="1266"/>
      <c r="R976" s="1267"/>
      <c r="S976" s="1267"/>
      <c r="T976" s="1268"/>
    </row>
    <row r="977" spans="2:20" ht="19.5" customHeight="1" thickBot="1">
      <c r="B977" s="1304"/>
      <c r="C977" s="1310"/>
      <c r="D977" s="1309"/>
      <c r="E977" s="927" t="s">
        <v>167</v>
      </c>
      <c r="F977" s="912"/>
      <c r="G977" s="1502" t="str">
        <f>IF(G976&gt;G975,"OVER","INSIDE")</f>
        <v>INSIDE</v>
      </c>
      <c r="H977" s="1503"/>
      <c r="I977" s="1504"/>
      <c r="J977" s="1082"/>
      <c r="K977" s="1086"/>
      <c r="L977" s="1071"/>
      <c r="M977" s="1078"/>
      <c r="N977" s="608"/>
      <c r="O977" s="595"/>
      <c r="P977" s="596"/>
      <c r="Q977" s="1269"/>
      <c r="R977" s="1270"/>
      <c r="S977" s="1270"/>
      <c r="T977" s="1271"/>
    </row>
    <row r="978" spans="2:20" ht="19.5" customHeight="1">
      <c r="B978" s="1304" t="s">
        <v>132</v>
      </c>
      <c r="C978" s="1308" t="s">
        <v>400</v>
      </c>
      <c r="D978" s="1307" t="s">
        <v>267</v>
      </c>
      <c r="E978" s="662"/>
      <c r="F978" s="881" t="s">
        <v>455</v>
      </c>
      <c r="G978" s="1438">
        <f>LEN(LEFT('記入シート'!C500,L978))</f>
        <v>0</v>
      </c>
      <c r="H978" s="1439"/>
      <c r="I978" s="612" t="s">
        <v>452</v>
      </c>
      <c r="J978" s="1719" t="s">
        <v>352</v>
      </c>
      <c r="K978" s="1095">
        <f ca="1">CELL("row",'記入シート'!C500)</f>
        <v>500</v>
      </c>
      <c r="L978" s="1070">
        <f>$L$40</f>
        <v>6</v>
      </c>
      <c r="M978" s="1081">
        <f>M966</f>
        <v>130</v>
      </c>
      <c r="N978" s="1626" t="s">
        <v>474</v>
      </c>
      <c r="O978" s="1330">
        <f>SUM(G978:H985)</f>
        <v>0</v>
      </c>
      <c r="P978" s="1727" t="s">
        <v>452</v>
      </c>
      <c r="Q978" s="1554">
        <f>IF(O983=0,REPT("　",O993*L978),CONCATENATE(LEFT('記入シート'!C500,L978),REPT("　",G979),LEFT('記入シート'!C501,L978),REPT("　",G981),LEFT('記入シート'!C502,L978),REPT("　",G983),LEFT('記入シート'!C503,L978),REPT("　",G985),REPT("　",L978*O985)))</f>
      </c>
      <c r="R978" s="313"/>
      <c r="S978" s="313"/>
      <c r="T978" s="313"/>
    </row>
    <row r="979" spans="2:20" ht="19.5" customHeight="1">
      <c r="B979" s="1304"/>
      <c r="C979" s="1304"/>
      <c r="D979" s="1303"/>
      <c r="E979" s="662"/>
      <c r="F979" s="785" t="s">
        <v>458</v>
      </c>
      <c r="G979" s="1222">
        <f>IF(G978=0,0,$L$40-G978)</f>
        <v>0</v>
      </c>
      <c r="H979" s="1223"/>
      <c r="I979" s="593" t="s">
        <v>452</v>
      </c>
      <c r="J979" s="1597"/>
      <c r="K979" s="1096"/>
      <c r="L979" s="1070"/>
      <c r="M979" s="1081"/>
      <c r="N979" s="1626"/>
      <c r="O979" s="1330"/>
      <c r="P979" s="1727"/>
      <c r="Q979" s="1554"/>
      <c r="R979" s="313"/>
      <c r="S979" s="313"/>
      <c r="T979" s="313"/>
    </row>
    <row r="980" spans="2:20" ht="19.5" customHeight="1">
      <c r="B980" s="1304"/>
      <c r="C980" s="1304"/>
      <c r="D980" s="1303"/>
      <c r="E980" s="662"/>
      <c r="F980" s="785" t="s">
        <v>456</v>
      </c>
      <c r="G980" s="1222">
        <f>LEN(LEFT('記入シート'!C501,L978))</f>
        <v>0</v>
      </c>
      <c r="H980" s="1223"/>
      <c r="I980" s="593" t="s">
        <v>452</v>
      </c>
      <c r="J980" s="1597" t="s">
        <v>352</v>
      </c>
      <c r="K980" s="1090">
        <f ca="1">CELL("row",'記入シート'!C501)</f>
        <v>501</v>
      </c>
      <c r="L980" s="1070"/>
      <c r="M980" s="1081"/>
      <c r="N980" s="1626"/>
      <c r="O980" s="1330"/>
      <c r="P980" s="1727"/>
      <c r="Q980" s="1554"/>
      <c r="R980" s="313"/>
      <c r="S980" s="313"/>
      <c r="T980" s="313"/>
    </row>
    <row r="981" spans="2:20" ht="19.5" customHeight="1">
      <c r="B981" s="1304"/>
      <c r="C981" s="1304"/>
      <c r="D981" s="1303"/>
      <c r="E981" s="662" t="s">
        <v>401</v>
      </c>
      <c r="F981" s="785" t="s">
        <v>459</v>
      </c>
      <c r="G981" s="1222">
        <f>IF(G980=0,0,$L$40-G980)</f>
        <v>0</v>
      </c>
      <c r="H981" s="1223"/>
      <c r="I981" s="593" t="s">
        <v>452</v>
      </c>
      <c r="J981" s="1597"/>
      <c r="K981" s="1090"/>
      <c r="L981" s="1070"/>
      <c r="M981" s="1081"/>
      <c r="N981" s="1626"/>
      <c r="O981" s="1330"/>
      <c r="P981" s="1727"/>
      <c r="Q981" s="1549"/>
      <c r="R981" s="313"/>
      <c r="S981" s="313"/>
      <c r="T981" s="313"/>
    </row>
    <row r="982" spans="2:20" ht="19.5" customHeight="1">
      <c r="B982" s="1304"/>
      <c r="C982" s="1304"/>
      <c r="D982" s="1303"/>
      <c r="E982" s="662" t="s">
        <v>293</v>
      </c>
      <c r="F982" s="628" t="s">
        <v>475</v>
      </c>
      <c r="G982" s="1222">
        <f>LEN(LEFT('記入シート'!C502,L978))</f>
        <v>0</v>
      </c>
      <c r="H982" s="1223"/>
      <c r="I982" s="593" t="s">
        <v>452</v>
      </c>
      <c r="J982" s="1624" t="s">
        <v>352</v>
      </c>
      <c r="K982" s="1090">
        <f ca="1">CELL("row",'記入シート'!C502)</f>
        <v>502</v>
      </c>
      <c r="L982" s="1070"/>
      <c r="M982" s="1081"/>
      <c r="N982" s="1627"/>
      <c r="O982" s="1613"/>
      <c r="P982" s="1728"/>
      <c r="Q982" s="320"/>
      <c r="R982" s="313"/>
      <c r="S982" s="313"/>
      <c r="T982" s="313"/>
    </row>
    <row r="983" spans="2:20" ht="19.5" customHeight="1">
      <c r="B983" s="1304"/>
      <c r="C983" s="1304"/>
      <c r="D983" s="1303"/>
      <c r="E983" s="662"/>
      <c r="F983" s="628" t="s">
        <v>476</v>
      </c>
      <c r="G983" s="1222">
        <f>IF(G982=0,0,$L$40-G982)</f>
        <v>0</v>
      </c>
      <c r="H983" s="1223"/>
      <c r="I983" s="593" t="s">
        <v>452</v>
      </c>
      <c r="J983" s="1719"/>
      <c r="K983" s="1090"/>
      <c r="L983" s="1070"/>
      <c r="M983" s="1081"/>
      <c r="N983" s="1601" t="s">
        <v>480</v>
      </c>
      <c r="O983" s="1606">
        <f>O978/$L$40</f>
        <v>0</v>
      </c>
      <c r="P983" s="1604" t="s">
        <v>453</v>
      </c>
      <c r="Q983" s="320"/>
      <c r="R983" s="313"/>
      <c r="S983" s="313"/>
      <c r="T983" s="313"/>
    </row>
    <row r="984" spans="2:20" ht="19.5" customHeight="1">
      <c r="B984" s="1304"/>
      <c r="C984" s="1304"/>
      <c r="D984" s="1303"/>
      <c r="E984" s="662"/>
      <c r="F984" s="628" t="s">
        <v>477</v>
      </c>
      <c r="G984" s="1222">
        <f>LEN(LEFT('記入シート'!C503,L978))</f>
        <v>0</v>
      </c>
      <c r="H984" s="1223"/>
      <c r="I984" s="593" t="s">
        <v>452</v>
      </c>
      <c r="J984" s="1624" t="s">
        <v>352</v>
      </c>
      <c r="K984" s="1090">
        <f ca="1">CELL("row",'記入シート'!C503)</f>
        <v>503</v>
      </c>
      <c r="L984" s="1070"/>
      <c r="M984" s="1081"/>
      <c r="N984" s="1616"/>
      <c r="O984" s="1613"/>
      <c r="P984" s="1584"/>
      <c r="Q984" s="995"/>
      <c r="R984" s="313"/>
      <c r="S984" s="313"/>
      <c r="T984" s="313"/>
    </row>
    <row r="985" spans="2:20" ht="19.5" customHeight="1">
      <c r="B985" s="1304"/>
      <c r="C985" s="1304"/>
      <c r="D985" s="1303"/>
      <c r="E985" s="662"/>
      <c r="F985" s="628" t="s">
        <v>478</v>
      </c>
      <c r="G985" s="1222">
        <f>IF(G984=0,0,$L$40-G984)</f>
        <v>0</v>
      </c>
      <c r="H985" s="1223"/>
      <c r="I985" s="578" t="s">
        <v>452</v>
      </c>
      <c r="J985" s="1089"/>
      <c r="K985" s="1090"/>
      <c r="L985" s="1609"/>
      <c r="M985" s="1610"/>
      <c r="N985" s="617" t="s">
        <v>252</v>
      </c>
      <c r="O985" s="780">
        <f>O993-O983</f>
        <v>0</v>
      </c>
      <c r="P985" s="618" t="s">
        <v>453</v>
      </c>
      <c r="Q985" s="995"/>
      <c r="R985" s="313"/>
      <c r="S985" s="313"/>
      <c r="T985" s="313"/>
    </row>
    <row r="986" spans="2:20" ht="19.5" customHeight="1">
      <c r="B986" s="1304"/>
      <c r="C986" s="1304"/>
      <c r="D986" s="1303"/>
      <c r="E986" s="629"/>
      <c r="F986" s="610"/>
      <c r="G986" s="610"/>
      <c r="H986" s="611"/>
      <c r="I986" s="633"/>
      <c r="J986" s="1012"/>
      <c r="K986" s="630"/>
      <c r="L986" s="634"/>
      <c r="M986" s="635"/>
      <c r="N986" s="1618" t="s">
        <v>124</v>
      </c>
      <c r="O986" s="1620" t="str">
        <f>IF(O983&gt;G974/L966,"OVER","INSIDE")</f>
        <v>INSIDE</v>
      </c>
      <c r="P986" s="1621"/>
      <c r="Q986" s="424"/>
      <c r="R986" s="419"/>
      <c r="S986" s="419"/>
      <c r="T986" s="419"/>
    </row>
    <row r="987" spans="2:20" ht="19.5" customHeight="1" thickBot="1">
      <c r="B987" s="1304"/>
      <c r="C987" s="1304"/>
      <c r="D987" s="1303"/>
      <c r="E987" s="647"/>
      <c r="F987" s="648"/>
      <c r="G987" s="648"/>
      <c r="H987" s="649"/>
      <c r="I987" s="650"/>
      <c r="J987" s="1013"/>
      <c r="K987" s="650"/>
      <c r="L987" s="651"/>
      <c r="M987" s="652"/>
      <c r="N987" s="1619"/>
      <c r="O987" s="1622"/>
      <c r="P987" s="1623"/>
      <c r="Q987" s="424"/>
      <c r="R987" s="419"/>
      <c r="S987" s="419"/>
      <c r="T987" s="419"/>
    </row>
    <row r="988" spans="2:20" ht="19.5" customHeight="1">
      <c r="B988" s="1304" t="s">
        <v>132</v>
      </c>
      <c r="C988" s="1304" t="s">
        <v>400</v>
      </c>
      <c r="D988" s="1303" t="s">
        <v>267</v>
      </c>
      <c r="E988" s="661"/>
      <c r="F988" s="626" t="s">
        <v>455</v>
      </c>
      <c r="G988" s="1318">
        <f>LEN(LEFT('記入シート'!C506,L988))</f>
        <v>0</v>
      </c>
      <c r="H988" s="1319"/>
      <c r="I988" s="627" t="s">
        <v>452</v>
      </c>
      <c r="J988" s="1617" t="s">
        <v>352</v>
      </c>
      <c r="K988" s="1095">
        <f ca="1">CELL("row",'記入シート'!C506)</f>
        <v>506</v>
      </c>
      <c r="L988" s="1326">
        <f>$L$49</f>
        <v>6</v>
      </c>
      <c r="M988" s="1615">
        <f>M966</f>
        <v>130</v>
      </c>
      <c r="N988" s="1625" t="s">
        <v>484</v>
      </c>
      <c r="O988" s="1329">
        <f>SUM(G988:H991)</f>
        <v>0</v>
      </c>
      <c r="P988" s="1331" t="s">
        <v>452</v>
      </c>
      <c r="Q988" s="1548">
        <f>IF(O991=0,REPT("　",O993*L988),CONCATENATE(LEFT('記入シート'!C506,L988),REPT("　",G989),LEFT('記入シート'!C507,L988),REPT("　",G991),REPT("　",L988*O996)))</f>
      </c>
      <c r="R988" s="419"/>
      <c r="S988" s="419"/>
      <c r="T988" s="419"/>
    </row>
    <row r="989" spans="2:20" ht="19.5" customHeight="1">
      <c r="B989" s="1304"/>
      <c r="C989" s="1304"/>
      <c r="D989" s="1303"/>
      <c r="E989" s="662" t="s">
        <v>402</v>
      </c>
      <c r="F989" s="613" t="s">
        <v>458</v>
      </c>
      <c r="G989" s="1222">
        <f>IF(G988=0,0,$L$49-G988)</f>
        <v>0</v>
      </c>
      <c r="H989" s="1223"/>
      <c r="I989" s="593" t="s">
        <v>452</v>
      </c>
      <c r="J989" s="1597"/>
      <c r="K989" s="1091"/>
      <c r="L989" s="1070"/>
      <c r="M989" s="1603"/>
      <c r="N989" s="1626"/>
      <c r="O989" s="1330"/>
      <c r="P989" s="1332"/>
      <c r="Q989" s="1549"/>
      <c r="R989" s="419"/>
      <c r="S989" s="419"/>
      <c r="T989" s="419"/>
    </row>
    <row r="990" spans="2:20" ht="19.5" customHeight="1">
      <c r="B990" s="1304"/>
      <c r="C990" s="1304"/>
      <c r="D990" s="1303"/>
      <c r="E990" s="662" t="s">
        <v>293</v>
      </c>
      <c r="F990" s="613" t="s">
        <v>456</v>
      </c>
      <c r="G990" s="1222">
        <f>LEN(LEFT('記入シート'!C507,L988))</f>
        <v>0</v>
      </c>
      <c r="H990" s="1223"/>
      <c r="I990" s="593" t="s">
        <v>452</v>
      </c>
      <c r="J990" s="1624" t="s">
        <v>352</v>
      </c>
      <c r="K990" s="1092">
        <f ca="1">CELL("row",'記入シート'!C477)</f>
        <v>477</v>
      </c>
      <c r="L990" s="1070"/>
      <c r="M990" s="1603"/>
      <c r="N990" s="1627"/>
      <c r="O990" s="1613"/>
      <c r="P990" s="1584"/>
      <c r="Q990" s="424"/>
      <c r="R990" s="419"/>
      <c r="S990" s="419"/>
      <c r="T990" s="419"/>
    </row>
    <row r="991" spans="2:20" ht="19.5" customHeight="1">
      <c r="B991" s="1304"/>
      <c r="C991" s="1304"/>
      <c r="D991" s="1303"/>
      <c r="E991" s="662"/>
      <c r="F991" s="605" t="s">
        <v>459</v>
      </c>
      <c r="G991" s="1222">
        <f>IF(G990=0,0,$L$49-G990)</f>
        <v>0</v>
      </c>
      <c r="H991" s="1223"/>
      <c r="I991" s="578" t="s">
        <v>452</v>
      </c>
      <c r="J991" s="1719"/>
      <c r="K991" s="1084"/>
      <c r="L991" s="1609"/>
      <c r="M991" s="1603"/>
      <c r="N991" s="1601" t="s">
        <v>479</v>
      </c>
      <c r="O991" s="1606">
        <f>O988/$L$49</f>
        <v>0</v>
      </c>
      <c r="P991" s="1604" t="s">
        <v>453</v>
      </c>
      <c r="Q991" s="424"/>
      <c r="R991" s="419"/>
      <c r="S991" s="419"/>
      <c r="T991" s="419"/>
    </row>
    <row r="992" spans="2:20" ht="19.5" customHeight="1">
      <c r="B992" s="1304"/>
      <c r="C992" s="1304"/>
      <c r="D992" s="1303"/>
      <c r="E992" s="629"/>
      <c r="F992" s="614"/>
      <c r="G992" s="614"/>
      <c r="H992" s="615"/>
      <c r="I992" s="630"/>
      <c r="J992" s="1012"/>
      <c r="K992" s="630"/>
      <c r="L992" s="631"/>
      <c r="M992" s="631"/>
      <c r="N992" s="1328"/>
      <c r="O992" s="1330"/>
      <c r="P992" s="1332"/>
      <c r="Q992" s="424"/>
      <c r="R992" s="419"/>
      <c r="S992" s="419"/>
      <c r="T992" s="419"/>
    </row>
    <row r="993" spans="2:20" ht="19.5" customHeight="1">
      <c r="B993" s="1304"/>
      <c r="C993" s="1304"/>
      <c r="D993" s="1303"/>
      <c r="E993" s="629"/>
      <c r="F993" s="610"/>
      <c r="G993" s="610"/>
      <c r="H993" s="611"/>
      <c r="I993" s="633"/>
      <c r="J993" s="1014"/>
      <c r="K993" s="633"/>
      <c r="L993" s="634"/>
      <c r="M993" s="634"/>
      <c r="N993" s="1601" t="s">
        <v>483</v>
      </c>
      <c r="O993" s="1606">
        <f>MAX(G971,O983,O991)</f>
        <v>0</v>
      </c>
      <c r="P993" s="1604" t="s">
        <v>453</v>
      </c>
      <c r="Q993" s="424"/>
      <c r="R993" s="419"/>
      <c r="S993" s="419"/>
      <c r="T993" s="419"/>
    </row>
    <row r="994" spans="2:20" ht="19.5" customHeight="1">
      <c r="B994" s="1304"/>
      <c r="C994" s="1304"/>
      <c r="D994" s="1303"/>
      <c r="E994" s="629"/>
      <c r="F994" s="610"/>
      <c r="G994" s="610"/>
      <c r="H994" s="611"/>
      <c r="I994" s="633"/>
      <c r="J994" s="1014"/>
      <c r="K994" s="633"/>
      <c r="L994" s="634"/>
      <c r="M994" s="634"/>
      <c r="N994" s="1328"/>
      <c r="O994" s="1330"/>
      <c r="P994" s="1332"/>
      <c r="Q994" s="424"/>
      <c r="R994" s="419"/>
      <c r="S994" s="419"/>
      <c r="T994" s="419"/>
    </row>
    <row r="995" spans="2:20" ht="19.5" customHeight="1">
      <c r="B995" s="1304"/>
      <c r="C995" s="1304"/>
      <c r="D995" s="1303"/>
      <c r="E995" s="629"/>
      <c r="F995" s="610"/>
      <c r="G995" s="610"/>
      <c r="H995" s="611"/>
      <c r="I995" s="633"/>
      <c r="J995" s="1014"/>
      <c r="K995" s="633"/>
      <c r="L995" s="634"/>
      <c r="M995" s="634"/>
      <c r="N995" s="1616"/>
      <c r="O995" s="1613"/>
      <c r="P995" s="1584"/>
      <c r="Q995" s="424"/>
      <c r="R995" s="419"/>
      <c r="S995" s="419"/>
      <c r="T995" s="419"/>
    </row>
    <row r="996" spans="2:20" ht="19.5" customHeight="1">
      <c r="B996" s="1304"/>
      <c r="C996" s="1304"/>
      <c r="D996" s="1303"/>
      <c r="E996" s="629"/>
      <c r="F996" s="610"/>
      <c r="G996" s="610"/>
      <c r="H996" s="611"/>
      <c r="I996" s="633"/>
      <c r="J996" s="1014"/>
      <c r="K996" s="633"/>
      <c r="L996" s="634"/>
      <c r="M996" s="634"/>
      <c r="N996" s="617" t="s">
        <v>145</v>
      </c>
      <c r="O996" s="780">
        <f>O993-O991</f>
        <v>0</v>
      </c>
      <c r="P996" s="618" t="s">
        <v>453</v>
      </c>
      <c r="Q996" s="424"/>
      <c r="R996" s="419"/>
      <c r="S996" s="419"/>
      <c r="T996" s="419"/>
    </row>
    <row r="997" spans="2:20" ht="19.5" customHeight="1">
      <c r="B997" s="1304"/>
      <c r="C997" s="1304"/>
      <c r="D997" s="1303"/>
      <c r="E997" s="629"/>
      <c r="F997" s="610"/>
      <c r="G997" s="610"/>
      <c r="H997" s="611"/>
      <c r="I997" s="633"/>
      <c r="J997" s="1014"/>
      <c r="K997" s="633"/>
      <c r="L997" s="634"/>
      <c r="M997" s="634"/>
      <c r="N997" s="1618" t="s">
        <v>125</v>
      </c>
      <c r="O997" s="1620" t="str">
        <f>IF(O991&gt;G974/L966,"OVER","INSIDE")</f>
        <v>INSIDE</v>
      </c>
      <c r="P997" s="1621"/>
      <c r="Q997" s="424"/>
      <c r="R997" s="419"/>
      <c r="S997" s="419"/>
      <c r="T997" s="419"/>
    </row>
    <row r="998" spans="2:20" ht="19.5" customHeight="1" thickBot="1">
      <c r="B998" s="1304"/>
      <c r="C998" s="1304"/>
      <c r="D998" s="1303"/>
      <c r="E998" s="629"/>
      <c r="F998" s="610"/>
      <c r="G998" s="610"/>
      <c r="H998" s="611"/>
      <c r="I998" s="633"/>
      <c r="J998" s="1014"/>
      <c r="K998" s="633"/>
      <c r="L998" s="634"/>
      <c r="M998" s="634"/>
      <c r="N998" s="1619"/>
      <c r="O998" s="1622"/>
      <c r="P998" s="1623"/>
      <c r="Q998" s="424"/>
      <c r="R998" s="419"/>
      <c r="S998" s="419"/>
      <c r="T998" s="419"/>
    </row>
    <row r="999" spans="2:20" ht="19.5" customHeight="1">
      <c r="B999" s="1304" t="s">
        <v>132</v>
      </c>
      <c r="C999" s="1304" t="s">
        <v>400</v>
      </c>
      <c r="D999" s="1303" t="s">
        <v>267</v>
      </c>
      <c r="E999" s="661"/>
      <c r="F999" s="636" t="s">
        <v>1</v>
      </c>
      <c r="G999" s="1318">
        <f>LEN(LEFT('記入シート'!D510,2))</f>
        <v>0</v>
      </c>
      <c r="H999" s="1319"/>
      <c r="I999" s="627" t="s">
        <v>452</v>
      </c>
      <c r="J999" s="1617" t="s">
        <v>353</v>
      </c>
      <c r="K999" s="1085">
        <f ca="1">CELL("row",'記入シート'!D510)</f>
        <v>510</v>
      </c>
      <c r="L999" s="1614">
        <v>2</v>
      </c>
      <c r="M999" s="1615">
        <f>M966</f>
        <v>130</v>
      </c>
      <c r="N999" s="1612" t="s">
        <v>8</v>
      </c>
      <c r="O999" s="1329">
        <f>IF(G999=0,0,1)</f>
        <v>0</v>
      </c>
      <c r="P999" s="1331" t="s">
        <v>453</v>
      </c>
      <c r="Q999" s="503" t="s">
        <v>6</v>
      </c>
      <c r="R999" s="419"/>
      <c r="S999" s="419"/>
      <c r="T999" s="419"/>
    </row>
    <row r="1000" spans="2:20" ht="19.5" customHeight="1">
      <c r="B1000" s="1304"/>
      <c r="C1000" s="1304"/>
      <c r="D1000" s="1303"/>
      <c r="E1000" s="662"/>
      <c r="F1000" s="613" t="s">
        <v>2</v>
      </c>
      <c r="G1000" s="1222">
        <f>$L$58-G999</f>
        <v>2</v>
      </c>
      <c r="H1000" s="1223"/>
      <c r="I1000" s="593" t="s">
        <v>452</v>
      </c>
      <c r="J1000" s="1597"/>
      <c r="K1000" s="1084"/>
      <c r="L1000" s="1599"/>
      <c r="M1000" s="1611"/>
      <c r="N1000" s="1596"/>
      <c r="O1000" s="1613"/>
      <c r="P1000" s="1584"/>
      <c r="Q1000" s="986">
        <f>IF(G977="OVER","",IF(G970=0,"",IF(O999=0,REPT("　",5*O1001),CONCATENATE(REPT("　",G1000),LEFT('記入シート'!D510,L999),"／",REPT("　",G1002),LEFT('記入シート'!G510,L1001),REPT("　",5*O1001)))))</f>
      </c>
      <c r="R1000" s="419"/>
      <c r="S1000" s="419"/>
      <c r="T1000" s="419"/>
    </row>
    <row r="1001" spans="2:20" ht="19.5" customHeight="1">
      <c r="B1001" s="1304"/>
      <c r="C1001" s="1304"/>
      <c r="D1001" s="1303"/>
      <c r="E1001" s="662"/>
      <c r="F1001" s="613" t="s">
        <v>3</v>
      </c>
      <c r="G1001" s="1222">
        <f>LEN(LEFT('記入シート'!G510,2))</f>
        <v>0</v>
      </c>
      <c r="H1001" s="1223"/>
      <c r="I1001" s="593" t="s">
        <v>452</v>
      </c>
      <c r="J1001" s="1597" t="s">
        <v>354</v>
      </c>
      <c r="K1001" s="1093">
        <f ca="1">CELL("row",'記入シート'!G510)</f>
        <v>510</v>
      </c>
      <c r="L1001" s="1599">
        <v>2</v>
      </c>
      <c r="M1001" s="1603">
        <f>M966</f>
        <v>130</v>
      </c>
      <c r="N1001" s="1601" t="s">
        <v>147</v>
      </c>
      <c r="O1001" s="1606">
        <f>O993-O999</f>
        <v>0</v>
      </c>
      <c r="P1001" s="1604" t="s">
        <v>453</v>
      </c>
      <c r="Q1001" s="987"/>
      <c r="R1001" s="419"/>
      <c r="S1001" s="419"/>
      <c r="T1001" s="419"/>
    </row>
    <row r="1002" spans="2:20" ht="19.5" customHeight="1">
      <c r="B1002" s="1304"/>
      <c r="C1002" s="1304"/>
      <c r="D1002" s="1303"/>
      <c r="E1002" s="662" t="s">
        <v>403</v>
      </c>
      <c r="F1002" s="613" t="s">
        <v>461</v>
      </c>
      <c r="G1002" s="1222">
        <f>$L$60-G1001</f>
        <v>2</v>
      </c>
      <c r="H1002" s="1223"/>
      <c r="I1002" s="593" t="s">
        <v>452</v>
      </c>
      <c r="J1002" s="1597"/>
      <c r="K1002" s="1084"/>
      <c r="L1002" s="1599"/>
      <c r="M1002" s="1603"/>
      <c r="N1002" s="1616"/>
      <c r="O1002" s="1613"/>
      <c r="P1002" s="1584"/>
      <c r="Q1002" s="988"/>
      <c r="R1002" s="419"/>
      <c r="S1002" s="419"/>
      <c r="T1002" s="419"/>
    </row>
    <row r="1003" spans="2:20" ht="19.5" customHeight="1">
      <c r="B1003" s="1304"/>
      <c r="C1003" s="1304"/>
      <c r="D1003" s="1303"/>
      <c r="E1003" s="662" t="s">
        <v>293</v>
      </c>
      <c r="F1003" s="613" t="s">
        <v>4</v>
      </c>
      <c r="G1003" s="1222">
        <f>LEN(LEFT('記入シート'!N510,2))</f>
        <v>0</v>
      </c>
      <c r="H1003" s="1223"/>
      <c r="I1003" s="593" t="s">
        <v>452</v>
      </c>
      <c r="J1003" s="1597" t="s">
        <v>355</v>
      </c>
      <c r="K1003" s="1093">
        <f ca="1">CELL("row",'記入シート'!N510)</f>
        <v>510</v>
      </c>
      <c r="L1003" s="1599">
        <v>2</v>
      </c>
      <c r="M1003" s="1603">
        <f>M966</f>
        <v>130</v>
      </c>
      <c r="N1003" s="1595" t="s">
        <v>178</v>
      </c>
      <c r="O1003" s="1606">
        <f>IF(G1003=0,0,1)</f>
        <v>0</v>
      </c>
      <c r="P1003" s="1604" t="s">
        <v>453</v>
      </c>
      <c r="Q1003" s="503" t="s">
        <v>7</v>
      </c>
      <c r="R1003" s="419"/>
      <c r="S1003" s="419"/>
      <c r="T1003" s="419"/>
    </row>
    <row r="1004" spans="2:20" ht="19.5" customHeight="1">
      <c r="B1004" s="1304"/>
      <c r="C1004" s="1304"/>
      <c r="D1004" s="1303"/>
      <c r="E1004" s="662"/>
      <c r="F1004" s="613" t="s">
        <v>5</v>
      </c>
      <c r="G1004" s="1222">
        <f>$L$62-G1003</f>
        <v>2</v>
      </c>
      <c r="H1004" s="1223"/>
      <c r="I1004" s="593" t="s">
        <v>452</v>
      </c>
      <c r="J1004" s="1597"/>
      <c r="K1004" s="1084"/>
      <c r="L1004" s="1599"/>
      <c r="M1004" s="1603"/>
      <c r="N1004" s="1596"/>
      <c r="O1004" s="1613"/>
      <c r="P1004" s="1584"/>
      <c r="Q1004" s="986">
        <f>IF(G977="OVER","",IF(G970=0,"",IF(O1003=0,REPT("　",5*O1005),CONCATENATE(REPT("　",G1004),LEFT('記入シート'!N510,L1003),"／",REPT("　",G1006),LEFT('記入シート'!Q510,L1005),REPT("　",5*O1005)))))</f>
      </c>
      <c r="R1004" s="419"/>
      <c r="S1004" s="419"/>
      <c r="T1004" s="419"/>
    </row>
    <row r="1005" spans="2:20" ht="19.5" customHeight="1">
      <c r="B1005" s="1304"/>
      <c r="C1005" s="1304"/>
      <c r="D1005" s="1303"/>
      <c r="E1005" s="662"/>
      <c r="F1005" s="613" t="s">
        <v>462</v>
      </c>
      <c r="G1005" s="1222">
        <f>LEN(LEFT('記入シート'!Q510,2))</f>
        <v>0</v>
      </c>
      <c r="H1005" s="1223"/>
      <c r="I1005" s="593" t="s">
        <v>452</v>
      </c>
      <c r="J1005" s="1597" t="s">
        <v>356</v>
      </c>
      <c r="K1005" s="1093">
        <f ca="1">CELL("row",'記入シート'!Q510)</f>
        <v>510</v>
      </c>
      <c r="L1005" s="1599">
        <v>2</v>
      </c>
      <c r="M1005" s="1603">
        <f>M966</f>
        <v>130</v>
      </c>
      <c r="N1005" s="1601" t="s">
        <v>180</v>
      </c>
      <c r="O1005" s="1606">
        <f>O993-O1003</f>
        <v>0</v>
      </c>
      <c r="P1005" s="1604" t="s">
        <v>453</v>
      </c>
      <c r="Q1005" s="987"/>
      <c r="R1005" s="419"/>
      <c r="S1005" s="419"/>
      <c r="T1005" s="419"/>
    </row>
    <row r="1006" spans="2:20" ht="19.5" customHeight="1" thickBot="1">
      <c r="B1006" s="1304"/>
      <c r="C1006" s="1304"/>
      <c r="D1006" s="1303"/>
      <c r="E1006" s="663"/>
      <c r="F1006" s="613" t="s">
        <v>463</v>
      </c>
      <c r="G1006" s="1444">
        <f>$L$64-G1005</f>
        <v>2</v>
      </c>
      <c r="H1006" s="1445"/>
      <c r="I1006" s="593" t="s">
        <v>452</v>
      </c>
      <c r="J1006" s="1598"/>
      <c r="K1006" s="1094"/>
      <c r="L1006" s="1600"/>
      <c r="M1006" s="1611"/>
      <c r="N1006" s="1602"/>
      <c r="O1006" s="1607"/>
      <c r="P1006" s="1605"/>
      <c r="Q1006" s="989"/>
      <c r="R1006" s="419"/>
      <c r="S1006" s="419"/>
      <c r="T1006" s="419"/>
    </row>
    <row r="1007" spans="2:20" ht="19.5" customHeight="1">
      <c r="B1007" s="1304"/>
      <c r="C1007" s="1304"/>
      <c r="D1007" s="1303" t="s">
        <v>267</v>
      </c>
      <c r="E1007" s="662" t="s">
        <v>404</v>
      </c>
      <c r="F1007" s="626" t="s">
        <v>420</v>
      </c>
      <c r="G1007" s="1318">
        <f>LEN(LEFT('記入シート'!C513,L1007))</f>
        <v>0</v>
      </c>
      <c r="H1007" s="1319"/>
      <c r="I1007" s="627" t="s">
        <v>452</v>
      </c>
      <c r="J1007" s="1313" t="s">
        <v>352</v>
      </c>
      <c r="K1007" s="1095">
        <f ca="1">CELL("row",'記入シート'!C513)</f>
        <v>513</v>
      </c>
      <c r="L1007" s="1326">
        <f>$L$66</f>
        <v>1</v>
      </c>
      <c r="M1007" s="1083">
        <f>M966</f>
        <v>130</v>
      </c>
      <c r="N1007" s="1612" t="s">
        <v>10</v>
      </c>
      <c r="O1007" s="1329">
        <f>IF(G1007=0,0,1)</f>
        <v>0</v>
      </c>
      <c r="P1007" s="1331" t="s">
        <v>453</v>
      </c>
      <c r="Q1007" s="639">
        <f>IF(G977="OVER","",IF(G968=0,"",CONCATENATE(LEFT('記入シート'!C513,1),REPT("　",O1009))))</f>
      </c>
      <c r="R1007" s="419"/>
      <c r="S1007" s="419"/>
      <c r="T1007" s="419"/>
    </row>
    <row r="1008" spans="2:20" ht="19.5" customHeight="1">
      <c r="B1008" s="1304"/>
      <c r="C1008" s="1304"/>
      <c r="D1008" s="1303"/>
      <c r="E1008" s="629" t="s">
        <v>293</v>
      </c>
      <c r="F1008" s="785" t="s">
        <v>460</v>
      </c>
      <c r="G1008" s="1222">
        <f>$L$66-G1007</f>
        <v>1</v>
      </c>
      <c r="H1008" s="1223"/>
      <c r="I1008" s="593" t="s">
        <v>452</v>
      </c>
      <c r="J1008" s="1089"/>
      <c r="K1008" s="1096"/>
      <c r="L1008" s="1070"/>
      <c r="M1008" s="1081"/>
      <c r="N1008" s="1596"/>
      <c r="O1008" s="1613"/>
      <c r="P1008" s="1584"/>
      <c r="Q1008" s="464"/>
      <c r="R1008" s="419"/>
      <c r="S1008" s="419"/>
      <c r="T1008" s="419"/>
    </row>
    <row r="1009" spans="2:20" ht="19.5" customHeight="1" thickBot="1">
      <c r="B1009" s="1305"/>
      <c r="C1009" s="1305"/>
      <c r="D1009" s="1306"/>
      <c r="E1009" s="675"/>
      <c r="F1009" s="640" t="s">
        <v>158</v>
      </c>
      <c r="G1009" s="786" t="s">
        <v>159</v>
      </c>
      <c r="H1009" s="452">
        <f>WIDECHAR('記入シート'!C513)</f>
      </c>
      <c r="I1009" s="787" t="s">
        <v>160</v>
      </c>
      <c r="J1009" s="1608"/>
      <c r="K1009" s="1097"/>
      <c r="L1009" s="1609"/>
      <c r="M1009" s="1610"/>
      <c r="N1009" s="617" t="s">
        <v>148</v>
      </c>
      <c r="O1009" s="780">
        <f>O993-O1007</f>
        <v>0</v>
      </c>
      <c r="P1009" s="618" t="s">
        <v>453</v>
      </c>
      <c r="Q1009" s="419"/>
      <c r="R1009" s="419"/>
      <c r="S1009" s="419"/>
      <c r="T1009" s="419"/>
    </row>
    <row r="1010" spans="2:20" ht="19.5" customHeight="1" thickTop="1">
      <c r="B1010" s="1312" t="s">
        <v>294</v>
      </c>
      <c r="C1010" s="1312" t="s">
        <v>400</v>
      </c>
      <c r="D1010" s="1311" t="s">
        <v>276</v>
      </c>
      <c r="E1010" s="928" t="s">
        <v>437</v>
      </c>
      <c r="F1010" s="926"/>
      <c r="G1010" s="1352">
        <f>IF(G966-G970-O966*L966&lt;0,0,G966-G970-O966*L966)</f>
        <v>2470</v>
      </c>
      <c r="H1010" s="1353"/>
      <c r="I1010" s="926" t="s">
        <v>452</v>
      </c>
      <c r="J1010" s="1313" t="s">
        <v>351</v>
      </c>
      <c r="K1010" s="1095">
        <f ca="1">CELL("row",'記入シート'!C518)</f>
        <v>518</v>
      </c>
      <c r="L1010" s="1314">
        <f>$L$32</f>
        <v>19</v>
      </c>
      <c r="M1010" s="1315">
        <f>G1018/L1010</f>
        <v>130</v>
      </c>
      <c r="N1010" s="1722" t="s">
        <v>481</v>
      </c>
      <c r="O1010" s="1729">
        <f>O1037-G1015</f>
        <v>0</v>
      </c>
      <c r="P1010" s="1730" t="s">
        <v>453</v>
      </c>
      <c r="Q1010" s="1263">
        <f>IF(G1014=0,REPT("　",O1010*L1010),CONCATENATE("⑤　",'記入シート'!C518,REPT("　",O1010*L1010+ABS(G1016))))</f>
      </c>
      <c r="R1010" s="1264"/>
      <c r="S1010" s="1264"/>
      <c r="T1010" s="1265"/>
    </row>
    <row r="1011" spans="2:20" ht="19.5" customHeight="1">
      <c r="B1011" s="1304"/>
      <c r="C1011" s="1304"/>
      <c r="D1011" s="1303"/>
      <c r="E1011" s="929" t="s">
        <v>273</v>
      </c>
      <c r="F1011" s="926"/>
      <c r="G1011" s="1436">
        <f>IF(G1010&gt;2,G1010-2,0)</f>
        <v>2468</v>
      </c>
      <c r="H1011" s="1437"/>
      <c r="I1011" s="926" t="s">
        <v>452</v>
      </c>
      <c r="J1011" s="1089"/>
      <c r="K1011" s="1096"/>
      <c r="L1011" s="1070"/>
      <c r="M1011" s="1081"/>
      <c r="N1011" s="1328"/>
      <c r="O1011" s="1330"/>
      <c r="P1011" s="1332"/>
      <c r="Q1011" s="1266"/>
      <c r="R1011" s="1267"/>
      <c r="S1011" s="1267"/>
      <c r="T1011" s="1268"/>
    </row>
    <row r="1012" spans="2:20" ht="19.5" customHeight="1">
      <c r="B1012" s="1304"/>
      <c r="C1012" s="1304"/>
      <c r="D1012" s="1303"/>
      <c r="E1012" s="929" t="s">
        <v>274</v>
      </c>
      <c r="F1012" s="926"/>
      <c r="G1012" s="1436">
        <f>LEN('記入シート'!C518)</f>
        <v>0</v>
      </c>
      <c r="H1012" s="1437"/>
      <c r="I1012" s="920" t="s">
        <v>452</v>
      </c>
      <c r="J1012" s="1089"/>
      <c r="K1012" s="1096"/>
      <c r="L1012" s="1070"/>
      <c r="M1012" s="1081"/>
      <c r="N1012" s="1616"/>
      <c r="O1012" s="1613"/>
      <c r="P1012" s="1584"/>
      <c r="Q1012" s="1266"/>
      <c r="R1012" s="1267"/>
      <c r="S1012" s="1267"/>
      <c r="T1012" s="1268"/>
    </row>
    <row r="1013" spans="2:20" ht="19.5" customHeight="1">
      <c r="B1013" s="1304"/>
      <c r="C1013" s="1304"/>
      <c r="D1013" s="1303"/>
      <c r="E1013" s="929" t="s">
        <v>167</v>
      </c>
      <c r="F1013" s="926"/>
      <c r="G1013" s="1354" t="str">
        <f>IF(G1012&gt;G1011,"OVER","INSIDE")</f>
        <v>INSIDE</v>
      </c>
      <c r="H1013" s="1355"/>
      <c r="I1013" s="1356"/>
      <c r="J1013" s="1089"/>
      <c r="K1013" s="1096"/>
      <c r="L1013" s="1070"/>
      <c r="M1013" s="1081"/>
      <c r="N1013" s="603"/>
      <c r="O1013" s="586"/>
      <c r="P1013" s="587"/>
      <c r="Q1013" s="1266"/>
      <c r="R1013" s="1267"/>
      <c r="S1013" s="1267"/>
      <c r="T1013" s="1268"/>
    </row>
    <row r="1014" spans="2:20" ht="19.5" customHeight="1">
      <c r="B1014" s="1304"/>
      <c r="C1014" s="1304"/>
      <c r="D1014" s="1303"/>
      <c r="E1014" s="600" t="s">
        <v>275</v>
      </c>
      <c r="F1014" s="592"/>
      <c r="G1014" s="1222">
        <f>IF(G1012=0,0,IF(G1013="OVER",0,G1012+2))</f>
        <v>0</v>
      </c>
      <c r="H1014" s="1223"/>
      <c r="I1014" s="578" t="s">
        <v>452</v>
      </c>
      <c r="J1014" s="1089"/>
      <c r="K1014" s="1096"/>
      <c r="L1014" s="1070"/>
      <c r="M1014" s="1081"/>
      <c r="N1014" s="603"/>
      <c r="O1014" s="586"/>
      <c r="P1014" s="587"/>
      <c r="Q1014" s="1266"/>
      <c r="R1014" s="1267"/>
      <c r="S1014" s="1267"/>
      <c r="T1014" s="1268"/>
    </row>
    <row r="1015" spans="2:20" ht="19.5" customHeight="1">
      <c r="B1015" s="1304"/>
      <c r="C1015" s="1304"/>
      <c r="D1015" s="1303"/>
      <c r="E1015" s="604" t="s">
        <v>451</v>
      </c>
      <c r="F1015" s="605"/>
      <c r="G1015" s="1222">
        <f>ROUNDUP(G1014/L1010,0)</f>
        <v>0</v>
      </c>
      <c r="H1015" s="1223"/>
      <c r="I1015" s="578" t="s">
        <v>453</v>
      </c>
      <c r="J1015" s="1089"/>
      <c r="K1015" s="1096"/>
      <c r="L1015" s="1070"/>
      <c r="M1015" s="1081"/>
      <c r="N1015" s="603"/>
      <c r="O1015" s="586"/>
      <c r="P1015" s="587"/>
      <c r="Q1015" s="1266"/>
      <c r="R1015" s="1267"/>
      <c r="S1015" s="1267"/>
      <c r="T1015" s="1268"/>
    </row>
    <row r="1016" spans="2:20" ht="19.5" customHeight="1">
      <c r="B1016" s="1304"/>
      <c r="C1016" s="1304"/>
      <c r="D1016" s="1303"/>
      <c r="E1016" s="604" t="s">
        <v>419</v>
      </c>
      <c r="F1016" s="605"/>
      <c r="G1016" s="1222">
        <f>G1014-G1015*L1010</f>
        <v>0</v>
      </c>
      <c r="H1016" s="1223"/>
      <c r="I1016" s="578" t="s">
        <v>452</v>
      </c>
      <c r="J1016" s="1089"/>
      <c r="K1016" s="1096"/>
      <c r="L1016" s="1070"/>
      <c r="M1016" s="1081"/>
      <c r="N1016" s="603"/>
      <c r="O1016" s="586"/>
      <c r="P1016" s="587"/>
      <c r="Q1016" s="1266"/>
      <c r="R1016" s="1267"/>
      <c r="S1016" s="1267"/>
      <c r="T1016" s="1268"/>
    </row>
    <row r="1017" spans="2:20" ht="19.5" customHeight="1" thickBot="1">
      <c r="B1017" s="1304"/>
      <c r="C1017" s="1310"/>
      <c r="D1017" s="1309"/>
      <c r="E1017" s="880" t="s">
        <v>423</v>
      </c>
      <c r="F1017" s="613"/>
      <c r="G1017" s="1316">
        <f>G1015*L1010</f>
        <v>0</v>
      </c>
      <c r="H1017" s="1317"/>
      <c r="I1017" s="593" t="s">
        <v>452</v>
      </c>
      <c r="J1017" s="1089"/>
      <c r="K1017" s="1096"/>
      <c r="L1017" s="1070"/>
      <c r="M1017" s="1081"/>
      <c r="N1017" s="603"/>
      <c r="O1017" s="586"/>
      <c r="P1017" s="587"/>
      <c r="Q1017" s="1266"/>
      <c r="R1017" s="1267"/>
      <c r="S1017" s="1267"/>
      <c r="T1017" s="1268"/>
    </row>
    <row r="1018" spans="2:20" ht="19.5" customHeight="1">
      <c r="B1018" s="1304" t="s">
        <v>294</v>
      </c>
      <c r="C1018" s="1308" t="s">
        <v>332</v>
      </c>
      <c r="D1018" s="1307" t="s">
        <v>276</v>
      </c>
      <c r="E1018" s="599" t="s">
        <v>437</v>
      </c>
      <c r="F1018" s="590"/>
      <c r="G1018" s="1318">
        <f>IF(G974-G973-O966*L966&lt;0,0,G974-G973-O966*L966)</f>
        <v>2470</v>
      </c>
      <c r="H1018" s="1319"/>
      <c r="I1018" s="590" t="s">
        <v>452</v>
      </c>
      <c r="J1018" s="1089"/>
      <c r="K1018" s="1096"/>
      <c r="L1018" s="1070"/>
      <c r="M1018" s="1081"/>
      <c r="N1018" s="603"/>
      <c r="O1018" s="586"/>
      <c r="P1018" s="587"/>
      <c r="Q1018" s="1266"/>
      <c r="R1018" s="1267"/>
      <c r="S1018" s="1267"/>
      <c r="T1018" s="1268"/>
    </row>
    <row r="1019" spans="2:20" ht="19.5" customHeight="1">
      <c r="B1019" s="1304"/>
      <c r="C1019" s="1304"/>
      <c r="D1019" s="1303"/>
      <c r="E1019" s="658" t="s">
        <v>273</v>
      </c>
      <c r="F1019" s="578"/>
      <c r="G1019" s="1206">
        <f>IF(G1018&gt;2,G1018-2,0)</f>
        <v>2468</v>
      </c>
      <c r="H1019" s="1207"/>
      <c r="I1019" s="796" t="s">
        <v>452</v>
      </c>
      <c r="J1019" s="1089"/>
      <c r="K1019" s="1096"/>
      <c r="L1019" s="1070"/>
      <c r="M1019" s="1081"/>
      <c r="N1019" s="603"/>
      <c r="O1019" s="586"/>
      <c r="P1019" s="587"/>
      <c r="Q1019" s="1266"/>
      <c r="R1019" s="1267"/>
      <c r="S1019" s="1267"/>
      <c r="T1019" s="1268"/>
    </row>
    <row r="1020" spans="2:20" ht="19.5" customHeight="1">
      <c r="B1020" s="1304"/>
      <c r="C1020" s="1304"/>
      <c r="D1020" s="1303"/>
      <c r="E1020" s="600" t="s">
        <v>274</v>
      </c>
      <c r="F1020" s="592"/>
      <c r="G1020" s="1222">
        <f>LEN('記入シート'!C518)</f>
        <v>0</v>
      </c>
      <c r="H1020" s="1223"/>
      <c r="I1020" s="578" t="s">
        <v>452</v>
      </c>
      <c r="J1020" s="1089"/>
      <c r="K1020" s="1096"/>
      <c r="L1020" s="1070"/>
      <c r="M1020" s="1081"/>
      <c r="N1020" s="603"/>
      <c r="O1020" s="586"/>
      <c r="P1020" s="587"/>
      <c r="Q1020" s="1266"/>
      <c r="R1020" s="1267"/>
      <c r="S1020" s="1267"/>
      <c r="T1020" s="1268"/>
    </row>
    <row r="1021" spans="2:20" ht="19.5" customHeight="1" thickBot="1">
      <c r="B1021" s="1304"/>
      <c r="C1021" s="1310"/>
      <c r="D1021" s="1309"/>
      <c r="E1021" s="927" t="s">
        <v>167</v>
      </c>
      <c r="F1021" s="912"/>
      <c r="G1021" s="1502" t="str">
        <f>IF(G1020&gt;G1019,"OVER","INSIDE")</f>
        <v>INSIDE</v>
      </c>
      <c r="H1021" s="1503"/>
      <c r="I1021" s="1504"/>
      <c r="J1021" s="1082"/>
      <c r="K1021" s="1086"/>
      <c r="L1021" s="1071"/>
      <c r="M1021" s="1078"/>
      <c r="N1021" s="608"/>
      <c r="O1021" s="595"/>
      <c r="P1021" s="596"/>
      <c r="Q1021" s="1269"/>
      <c r="R1021" s="1270"/>
      <c r="S1021" s="1270"/>
      <c r="T1021" s="1271"/>
    </row>
    <row r="1022" spans="2:20" ht="19.5" customHeight="1">
      <c r="B1022" s="1304" t="s">
        <v>294</v>
      </c>
      <c r="C1022" s="1308" t="s">
        <v>400</v>
      </c>
      <c r="D1022" s="1307" t="s">
        <v>276</v>
      </c>
      <c r="E1022" s="662"/>
      <c r="F1022" s="881" t="s">
        <v>455</v>
      </c>
      <c r="G1022" s="1438">
        <f>LEN(LEFT('記入シート'!C522,L1022))</f>
        <v>0</v>
      </c>
      <c r="H1022" s="1439"/>
      <c r="I1022" s="612" t="s">
        <v>452</v>
      </c>
      <c r="J1022" s="1719" t="s">
        <v>352</v>
      </c>
      <c r="K1022" s="1095">
        <f ca="1">CELL("row",'記入シート'!C522)</f>
        <v>522</v>
      </c>
      <c r="L1022" s="1326">
        <f>$L$40</f>
        <v>6</v>
      </c>
      <c r="M1022" s="1083">
        <f>M1010</f>
        <v>130</v>
      </c>
      <c r="N1022" s="1626" t="s">
        <v>474</v>
      </c>
      <c r="O1022" s="1330">
        <f>SUM(G1022:H1029)</f>
        <v>0</v>
      </c>
      <c r="P1022" s="1727" t="s">
        <v>452</v>
      </c>
      <c r="Q1022" s="1554">
        <f>IF(O1027=0,REPT("　",O1037*L1022),CONCATENATE(LEFT('記入シート'!C522,L1022),REPT("　",G1023),LEFT('記入シート'!C523,L1022),REPT("　",G1025),LEFT('記入シート'!C524,L1022),REPT("　",G1027),LEFT('記入シート'!C525,L1022),REPT("　",G1029),REPT("　",L1022*O1029)))</f>
      </c>
      <c r="R1022" s="313"/>
      <c r="S1022" s="313"/>
      <c r="T1022" s="313"/>
    </row>
    <row r="1023" spans="2:20" ht="19.5" customHeight="1">
      <c r="B1023" s="1304"/>
      <c r="C1023" s="1304"/>
      <c r="D1023" s="1303"/>
      <c r="E1023" s="662"/>
      <c r="F1023" s="785" t="s">
        <v>458</v>
      </c>
      <c r="G1023" s="1222">
        <f>IF(G1022=0,0,$L$40-G1022)</f>
        <v>0</v>
      </c>
      <c r="H1023" s="1223"/>
      <c r="I1023" s="593" t="s">
        <v>452</v>
      </c>
      <c r="J1023" s="1597"/>
      <c r="K1023" s="1096"/>
      <c r="L1023" s="1070"/>
      <c r="M1023" s="1081"/>
      <c r="N1023" s="1626"/>
      <c r="O1023" s="1330"/>
      <c r="P1023" s="1727"/>
      <c r="Q1023" s="1554"/>
      <c r="R1023" s="313"/>
      <c r="S1023" s="313"/>
      <c r="T1023" s="313"/>
    </row>
    <row r="1024" spans="2:20" ht="19.5" customHeight="1">
      <c r="B1024" s="1304"/>
      <c r="C1024" s="1304"/>
      <c r="D1024" s="1303"/>
      <c r="E1024" s="662"/>
      <c r="F1024" s="785" t="s">
        <v>456</v>
      </c>
      <c r="G1024" s="1222">
        <f>LEN(LEFT('記入シート'!C523,L1022))</f>
        <v>0</v>
      </c>
      <c r="H1024" s="1223"/>
      <c r="I1024" s="593" t="s">
        <v>452</v>
      </c>
      <c r="J1024" s="1597" t="s">
        <v>352</v>
      </c>
      <c r="K1024" s="1090">
        <f ca="1">CELL("row",'記入シート'!C523)</f>
        <v>523</v>
      </c>
      <c r="L1024" s="1070"/>
      <c r="M1024" s="1081"/>
      <c r="N1024" s="1626"/>
      <c r="O1024" s="1330"/>
      <c r="P1024" s="1727"/>
      <c r="Q1024" s="1554"/>
      <c r="R1024" s="313"/>
      <c r="S1024" s="313"/>
      <c r="T1024" s="313"/>
    </row>
    <row r="1025" spans="2:20" ht="19.5" customHeight="1">
      <c r="B1025" s="1304"/>
      <c r="C1025" s="1304"/>
      <c r="D1025" s="1303"/>
      <c r="E1025" s="662" t="s">
        <v>401</v>
      </c>
      <c r="F1025" s="785" t="s">
        <v>459</v>
      </c>
      <c r="G1025" s="1222">
        <f>IF(G1024=0,0,$L$40-G1024)</f>
        <v>0</v>
      </c>
      <c r="H1025" s="1223"/>
      <c r="I1025" s="593" t="s">
        <v>452</v>
      </c>
      <c r="J1025" s="1597"/>
      <c r="K1025" s="1090"/>
      <c r="L1025" s="1070"/>
      <c r="M1025" s="1081"/>
      <c r="N1025" s="1626"/>
      <c r="O1025" s="1330"/>
      <c r="P1025" s="1727"/>
      <c r="Q1025" s="1549"/>
      <c r="R1025" s="313"/>
      <c r="S1025" s="313"/>
      <c r="T1025" s="313"/>
    </row>
    <row r="1026" spans="2:20" ht="19.5" customHeight="1">
      <c r="B1026" s="1304"/>
      <c r="C1026" s="1304"/>
      <c r="D1026" s="1303"/>
      <c r="E1026" s="662" t="s">
        <v>295</v>
      </c>
      <c r="F1026" s="628" t="s">
        <v>475</v>
      </c>
      <c r="G1026" s="1222">
        <f>LEN(LEFT('記入シート'!C524,L1022))</f>
        <v>0</v>
      </c>
      <c r="H1026" s="1223"/>
      <c r="I1026" s="593" t="s">
        <v>452</v>
      </c>
      <c r="J1026" s="1624" t="s">
        <v>352</v>
      </c>
      <c r="K1026" s="1090">
        <f ca="1">CELL("row",'記入シート'!C524)</f>
        <v>524</v>
      </c>
      <c r="L1026" s="1070"/>
      <c r="M1026" s="1081"/>
      <c r="N1026" s="1627"/>
      <c r="O1026" s="1613"/>
      <c r="P1026" s="1728"/>
      <c r="Q1026" s="320"/>
      <c r="R1026" s="313"/>
      <c r="S1026" s="313"/>
      <c r="T1026" s="313"/>
    </row>
    <row r="1027" spans="2:20" ht="19.5" customHeight="1">
      <c r="B1027" s="1304"/>
      <c r="C1027" s="1304"/>
      <c r="D1027" s="1303"/>
      <c r="E1027" s="662"/>
      <c r="F1027" s="628" t="s">
        <v>476</v>
      </c>
      <c r="G1027" s="1222">
        <f>IF(G1026=0,0,$L$40-G1026)</f>
        <v>0</v>
      </c>
      <c r="H1027" s="1223"/>
      <c r="I1027" s="593" t="s">
        <v>452</v>
      </c>
      <c r="J1027" s="1719"/>
      <c r="K1027" s="1090"/>
      <c r="L1027" s="1070"/>
      <c r="M1027" s="1081"/>
      <c r="N1027" s="1601" t="s">
        <v>480</v>
      </c>
      <c r="O1027" s="1606">
        <f>O1022/$L$40</f>
        <v>0</v>
      </c>
      <c r="P1027" s="1604" t="s">
        <v>453</v>
      </c>
      <c r="Q1027" s="320"/>
      <c r="R1027" s="313"/>
      <c r="S1027" s="313"/>
      <c r="T1027" s="313"/>
    </row>
    <row r="1028" spans="2:20" ht="19.5" customHeight="1">
      <c r="B1028" s="1304"/>
      <c r="C1028" s="1304"/>
      <c r="D1028" s="1303"/>
      <c r="E1028" s="662"/>
      <c r="F1028" s="628" t="s">
        <v>477</v>
      </c>
      <c r="G1028" s="1222">
        <f>LEN(LEFT('記入シート'!C525,L1022))</f>
        <v>0</v>
      </c>
      <c r="H1028" s="1223"/>
      <c r="I1028" s="593" t="s">
        <v>452</v>
      </c>
      <c r="J1028" s="1624" t="s">
        <v>352</v>
      </c>
      <c r="K1028" s="1090">
        <f ca="1">CELL("row",'記入シート'!C525)</f>
        <v>525</v>
      </c>
      <c r="L1028" s="1070"/>
      <c r="M1028" s="1081"/>
      <c r="N1028" s="1616"/>
      <c r="O1028" s="1613"/>
      <c r="P1028" s="1584"/>
      <c r="Q1028" s="995"/>
      <c r="R1028" s="313"/>
      <c r="S1028" s="313"/>
      <c r="T1028" s="313"/>
    </row>
    <row r="1029" spans="2:20" ht="19.5" customHeight="1">
      <c r="B1029" s="1304"/>
      <c r="C1029" s="1304"/>
      <c r="D1029" s="1303"/>
      <c r="E1029" s="662"/>
      <c r="F1029" s="628" t="s">
        <v>478</v>
      </c>
      <c r="G1029" s="1222">
        <f>IF(G1028=0,0,$L$40-G1028)</f>
        <v>0</v>
      </c>
      <c r="H1029" s="1223"/>
      <c r="I1029" s="578" t="s">
        <v>452</v>
      </c>
      <c r="J1029" s="1089"/>
      <c r="K1029" s="1090"/>
      <c r="L1029" s="1609"/>
      <c r="M1029" s="1610"/>
      <c r="N1029" s="617" t="s">
        <v>252</v>
      </c>
      <c r="O1029" s="780">
        <f>O1037-O1027</f>
        <v>0</v>
      </c>
      <c r="P1029" s="618" t="s">
        <v>453</v>
      </c>
      <c r="Q1029" s="995"/>
      <c r="R1029" s="313"/>
      <c r="S1029" s="313"/>
      <c r="T1029" s="313"/>
    </row>
    <row r="1030" spans="2:20" ht="19.5" customHeight="1">
      <c r="B1030" s="1304"/>
      <c r="C1030" s="1304"/>
      <c r="D1030" s="1303"/>
      <c r="E1030" s="629"/>
      <c r="F1030" s="610"/>
      <c r="G1030" s="610"/>
      <c r="H1030" s="611"/>
      <c r="I1030" s="633"/>
      <c r="J1030" s="1012"/>
      <c r="K1030" s="630"/>
      <c r="L1030" s="634"/>
      <c r="M1030" s="635"/>
      <c r="N1030" s="1618" t="s">
        <v>124</v>
      </c>
      <c r="O1030" s="1620" t="str">
        <f>IF(O1027&gt;G1018/L1010,"OVER","INSIDE")</f>
        <v>INSIDE</v>
      </c>
      <c r="P1030" s="1621"/>
      <c r="Q1030" s="424"/>
      <c r="R1030" s="419"/>
      <c r="S1030" s="419"/>
      <c r="T1030" s="419"/>
    </row>
    <row r="1031" spans="2:20" ht="19.5" customHeight="1" thickBot="1">
      <c r="B1031" s="1304"/>
      <c r="C1031" s="1304"/>
      <c r="D1031" s="1303"/>
      <c r="E1031" s="647"/>
      <c r="F1031" s="648"/>
      <c r="G1031" s="648"/>
      <c r="H1031" s="649"/>
      <c r="I1031" s="650"/>
      <c r="J1031" s="1013"/>
      <c r="K1031" s="650"/>
      <c r="L1031" s="651"/>
      <c r="M1031" s="652"/>
      <c r="N1031" s="1619"/>
      <c r="O1031" s="1622"/>
      <c r="P1031" s="1623"/>
      <c r="Q1031" s="424"/>
      <c r="R1031" s="419"/>
      <c r="S1031" s="419"/>
      <c r="T1031" s="419"/>
    </row>
    <row r="1032" spans="2:20" ht="19.5" customHeight="1">
      <c r="B1032" s="1304" t="s">
        <v>294</v>
      </c>
      <c r="C1032" s="1304" t="s">
        <v>400</v>
      </c>
      <c r="D1032" s="1303" t="s">
        <v>276</v>
      </c>
      <c r="E1032" s="661"/>
      <c r="F1032" s="626" t="s">
        <v>455</v>
      </c>
      <c r="G1032" s="1318">
        <f>LEN(LEFT('記入シート'!C528,L1032))</f>
        <v>0</v>
      </c>
      <c r="H1032" s="1319"/>
      <c r="I1032" s="627" t="s">
        <v>452</v>
      </c>
      <c r="J1032" s="1617" t="s">
        <v>352</v>
      </c>
      <c r="K1032" s="1095">
        <f ca="1">CELL("row",'記入シート'!C528)</f>
        <v>528</v>
      </c>
      <c r="L1032" s="1326">
        <f>$L$49</f>
        <v>6</v>
      </c>
      <c r="M1032" s="1615">
        <f>M1010</f>
        <v>130</v>
      </c>
      <c r="N1032" s="1625" t="s">
        <v>484</v>
      </c>
      <c r="O1032" s="1329">
        <f>SUM(G1032:H1035)</f>
        <v>0</v>
      </c>
      <c r="P1032" s="1331" t="s">
        <v>452</v>
      </c>
      <c r="Q1032" s="1548">
        <f>IF(O1035=0,REPT("　",O1037*L1032),CONCATENATE(LEFT('記入シート'!C528,L1032),REPT("　",G1033),LEFT('記入シート'!C529,L1032),REPT("　",G1035),REPT("　",L1032*O1040)))</f>
      </c>
      <c r="R1032" s="419"/>
      <c r="S1032" s="419"/>
      <c r="T1032" s="419"/>
    </row>
    <row r="1033" spans="2:20" ht="19.5" customHeight="1">
      <c r="B1033" s="1304"/>
      <c r="C1033" s="1304"/>
      <c r="D1033" s="1303"/>
      <c r="E1033" s="662" t="s">
        <v>402</v>
      </c>
      <c r="F1033" s="613" t="s">
        <v>458</v>
      </c>
      <c r="G1033" s="1222">
        <f>IF(G1032=0,0,$L$49-G1032)</f>
        <v>0</v>
      </c>
      <c r="H1033" s="1223"/>
      <c r="I1033" s="593" t="s">
        <v>452</v>
      </c>
      <c r="J1033" s="1597"/>
      <c r="K1033" s="1091"/>
      <c r="L1033" s="1070"/>
      <c r="M1033" s="1603"/>
      <c r="N1033" s="1626"/>
      <c r="O1033" s="1330"/>
      <c r="P1033" s="1332"/>
      <c r="Q1033" s="1549"/>
      <c r="R1033" s="419"/>
      <c r="S1033" s="419"/>
      <c r="T1033" s="419"/>
    </row>
    <row r="1034" spans="2:20" ht="19.5" customHeight="1">
      <c r="B1034" s="1304"/>
      <c r="C1034" s="1304"/>
      <c r="D1034" s="1303"/>
      <c r="E1034" s="662" t="s">
        <v>295</v>
      </c>
      <c r="F1034" s="613" t="s">
        <v>456</v>
      </c>
      <c r="G1034" s="1222">
        <f>LEN(LEFT('記入シート'!C529,L1032))</f>
        <v>0</v>
      </c>
      <c r="H1034" s="1223"/>
      <c r="I1034" s="593" t="s">
        <v>452</v>
      </c>
      <c r="J1034" s="1624" t="s">
        <v>352</v>
      </c>
      <c r="K1034" s="1092">
        <f ca="1">CELL("row",'記入シート'!C529)</f>
        <v>529</v>
      </c>
      <c r="L1034" s="1070"/>
      <c r="M1034" s="1603"/>
      <c r="N1034" s="1627"/>
      <c r="O1034" s="1613"/>
      <c r="P1034" s="1584"/>
      <c r="Q1034" s="424"/>
      <c r="R1034" s="419"/>
      <c r="S1034" s="419"/>
      <c r="T1034" s="419"/>
    </row>
    <row r="1035" spans="2:20" ht="19.5" customHeight="1">
      <c r="B1035" s="1304"/>
      <c r="C1035" s="1304"/>
      <c r="D1035" s="1303"/>
      <c r="E1035" s="662"/>
      <c r="F1035" s="605" t="s">
        <v>459</v>
      </c>
      <c r="G1035" s="1222">
        <f>IF(G1034=0,0,$L$49-G1034)</f>
        <v>0</v>
      </c>
      <c r="H1035" s="1223"/>
      <c r="I1035" s="578" t="s">
        <v>452</v>
      </c>
      <c r="J1035" s="1719"/>
      <c r="K1035" s="1084"/>
      <c r="L1035" s="1609"/>
      <c r="M1035" s="1603"/>
      <c r="N1035" s="1601" t="s">
        <v>479</v>
      </c>
      <c r="O1035" s="1606">
        <f>O1032/$L$49</f>
        <v>0</v>
      </c>
      <c r="P1035" s="1604" t="s">
        <v>453</v>
      </c>
      <c r="Q1035" s="424"/>
      <c r="R1035" s="419"/>
      <c r="S1035" s="419"/>
      <c r="T1035" s="419"/>
    </row>
    <row r="1036" spans="2:20" ht="19.5" customHeight="1">
      <c r="B1036" s="1304"/>
      <c r="C1036" s="1304"/>
      <c r="D1036" s="1303"/>
      <c r="E1036" s="629"/>
      <c r="F1036" s="614"/>
      <c r="G1036" s="614"/>
      <c r="H1036" s="615"/>
      <c r="I1036" s="630"/>
      <c r="J1036" s="1012"/>
      <c r="K1036" s="630"/>
      <c r="L1036" s="631"/>
      <c r="M1036" s="631"/>
      <c r="N1036" s="1328"/>
      <c r="O1036" s="1330"/>
      <c r="P1036" s="1332"/>
      <c r="Q1036" s="424"/>
      <c r="R1036" s="419"/>
      <c r="S1036" s="419"/>
      <c r="T1036" s="419"/>
    </row>
    <row r="1037" spans="2:20" ht="19.5" customHeight="1">
      <c r="B1037" s="1304"/>
      <c r="C1037" s="1304"/>
      <c r="D1037" s="1303"/>
      <c r="E1037" s="629"/>
      <c r="F1037" s="610"/>
      <c r="G1037" s="610"/>
      <c r="H1037" s="611"/>
      <c r="I1037" s="633"/>
      <c r="J1037" s="1014"/>
      <c r="K1037" s="633"/>
      <c r="L1037" s="634"/>
      <c r="M1037" s="634"/>
      <c r="N1037" s="1601" t="s">
        <v>483</v>
      </c>
      <c r="O1037" s="1606">
        <f>MAX(G1015,O1027,O1035)</f>
        <v>0</v>
      </c>
      <c r="P1037" s="1604" t="s">
        <v>453</v>
      </c>
      <c r="Q1037" s="424"/>
      <c r="R1037" s="419"/>
      <c r="S1037" s="419"/>
      <c r="T1037" s="419"/>
    </row>
    <row r="1038" spans="2:20" ht="19.5" customHeight="1">
      <c r="B1038" s="1304"/>
      <c r="C1038" s="1304"/>
      <c r="D1038" s="1303"/>
      <c r="E1038" s="629"/>
      <c r="F1038" s="610"/>
      <c r="G1038" s="610"/>
      <c r="H1038" s="611"/>
      <c r="I1038" s="633"/>
      <c r="J1038" s="1014"/>
      <c r="K1038" s="633"/>
      <c r="L1038" s="634"/>
      <c r="M1038" s="634"/>
      <c r="N1038" s="1328"/>
      <c r="O1038" s="1330"/>
      <c r="P1038" s="1332"/>
      <c r="Q1038" s="424"/>
      <c r="R1038" s="419"/>
      <c r="S1038" s="419"/>
      <c r="T1038" s="419"/>
    </row>
    <row r="1039" spans="2:20" ht="19.5" customHeight="1">
      <c r="B1039" s="1304"/>
      <c r="C1039" s="1304"/>
      <c r="D1039" s="1303"/>
      <c r="E1039" s="629"/>
      <c r="F1039" s="610"/>
      <c r="G1039" s="610"/>
      <c r="H1039" s="611"/>
      <c r="I1039" s="633"/>
      <c r="J1039" s="1014"/>
      <c r="K1039" s="633"/>
      <c r="L1039" s="634"/>
      <c r="M1039" s="634"/>
      <c r="N1039" s="1616"/>
      <c r="O1039" s="1613"/>
      <c r="P1039" s="1584"/>
      <c r="Q1039" s="424"/>
      <c r="R1039" s="419"/>
      <c r="S1039" s="419"/>
      <c r="T1039" s="419"/>
    </row>
    <row r="1040" spans="2:20" ht="19.5" customHeight="1">
      <c r="B1040" s="1304"/>
      <c r="C1040" s="1304"/>
      <c r="D1040" s="1303"/>
      <c r="E1040" s="629"/>
      <c r="F1040" s="610"/>
      <c r="G1040" s="610"/>
      <c r="H1040" s="611"/>
      <c r="I1040" s="633"/>
      <c r="J1040" s="1014"/>
      <c r="K1040" s="633"/>
      <c r="L1040" s="634"/>
      <c r="M1040" s="634"/>
      <c r="N1040" s="617" t="s">
        <v>145</v>
      </c>
      <c r="O1040" s="780">
        <f>O1037-O1035</f>
        <v>0</v>
      </c>
      <c r="P1040" s="618" t="s">
        <v>453</v>
      </c>
      <c r="Q1040" s="424"/>
      <c r="R1040" s="419"/>
      <c r="S1040" s="419"/>
      <c r="T1040" s="419"/>
    </row>
    <row r="1041" spans="2:20" ht="19.5" customHeight="1">
      <c r="B1041" s="1304"/>
      <c r="C1041" s="1304"/>
      <c r="D1041" s="1303"/>
      <c r="E1041" s="629"/>
      <c r="F1041" s="610"/>
      <c r="G1041" s="610"/>
      <c r="H1041" s="611"/>
      <c r="I1041" s="633"/>
      <c r="J1041" s="1014"/>
      <c r="K1041" s="633"/>
      <c r="L1041" s="634"/>
      <c r="M1041" s="634"/>
      <c r="N1041" s="1618" t="s">
        <v>125</v>
      </c>
      <c r="O1041" s="1620" t="str">
        <f>IF(O1035&gt;G1018/L1010,"OVER","INSIDE")</f>
        <v>INSIDE</v>
      </c>
      <c r="P1041" s="1621"/>
      <c r="Q1041" s="424"/>
      <c r="R1041" s="419"/>
      <c r="S1041" s="419"/>
      <c r="T1041" s="419"/>
    </row>
    <row r="1042" spans="2:20" ht="19.5" customHeight="1" thickBot="1">
      <c r="B1042" s="1304"/>
      <c r="C1042" s="1304"/>
      <c r="D1042" s="1303"/>
      <c r="E1042" s="629"/>
      <c r="F1042" s="610"/>
      <c r="G1042" s="610"/>
      <c r="H1042" s="611"/>
      <c r="I1042" s="633"/>
      <c r="J1042" s="1014"/>
      <c r="K1042" s="633"/>
      <c r="L1042" s="634"/>
      <c r="M1042" s="634"/>
      <c r="N1042" s="1619"/>
      <c r="O1042" s="1622"/>
      <c r="P1042" s="1623"/>
      <c r="Q1042" s="424"/>
      <c r="R1042" s="419"/>
      <c r="S1042" s="419"/>
      <c r="T1042" s="419"/>
    </row>
    <row r="1043" spans="2:20" ht="19.5" customHeight="1">
      <c r="B1043" s="1304" t="s">
        <v>294</v>
      </c>
      <c r="C1043" s="1304" t="s">
        <v>400</v>
      </c>
      <c r="D1043" s="1303" t="s">
        <v>276</v>
      </c>
      <c r="E1043" s="661"/>
      <c r="F1043" s="636" t="s">
        <v>1</v>
      </c>
      <c r="G1043" s="1318">
        <f>LEN(LEFT('記入シート'!D532,2))</f>
        <v>0</v>
      </c>
      <c r="H1043" s="1319"/>
      <c r="I1043" s="627" t="s">
        <v>452</v>
      </c>
      <c r="J1043" s="1617" t="s">
        <v>353</v>
      </c>
      <c r="K1043" s="1085">
        <f ca="1">CELL("row",'記入シート'!D532)</f>
        <v>532</v>
      </c>
      <c r="L1043" s="1614">
        <v>2</v>
      </c>
      <c r="M1043" s="1615">
        <f>M1010</f>
        <v>130</v>
      </c>
      <c r="N1043" s="1612" t="s">
        <v>8</v>
      </c>
      <c r="O1043" s="1329">
        <f>IF(G1043=0,0,1)</f>
        <v>0</v>
      </c>
      <c r="P1043" s="1331" t="s">
        <v>453</v>
      </c>
      <c r="Q1043" s="503" t="s">
        <v>6</v>
      </c>
      <c r="R1043" s="419"/>
      <c r="S1043" s="419"/>
      <c r="T1043" s="419"/>
    </row>
    <row r="1044" spans="2:20" ht="19.5" customHeight="1">
      <c r="B1044" s="1304"/>
      <c r="C1044" s="1304"/>
      <c r="D1044" s="1303"/>
      <c r="E1044" s="662"/>
      <c r="F1044" s="613" t="s">
        <v>2</v>
      </c>
      <c r="G1044" s="1222">
        <f>$L$58-G1043</f>
        <v>2</v>
      </c>
      <c r="H1044" s="1223"/>
      <c r="I1044" s="593" t="s">
        <v>452</v>
      </c>
      <c r="J1044" s="1597"/>
      <c r="K1044" s="1084"/>
      <c r="L1044" s="1599"/>
      <c r="M1044" s="1611"/>
      <c r="N1044" s="1596"/>
      <c r="O1044" s="1613"/>
      <c r="P1044" s="1584"/>
      <c r="Q1044" s="986">
        <f>IF(G1021="OVER","",IF(G1014=0,"",IF(O1043=0,REPT("　",5*O1045),CONCATENATE(REPT("　",G1044),LEFT('記入シート'!D532,L1043),"／",REPT("　",G1046),LEFT('記入シート'!G532,L1045),REPT("　",5*O1045)))))</f>
      </c>
      <c r="R1044" s="419"/>
      <c r="S1044" s="419"/>
      <c r="T1044" s="419"/>
    </row>
    <row r="1045" spans="2:20" ht="19.5" customHeight="1">
      <c r="B1045" s="1304"/>
      <c r="C1045" s="1304"/>
      <c r="D1045" s="1303"/>
      <c r="E1045" s="662"/>
      <c r="F1045" s="613" t="s">
        <v>3</v>
      </c>
      <c r="G1045" s="1222">
        <f>LEN(LEFT('記入シート'!G532,2))</f>
        <v>0</v>
      </c>
      <c r="H1045" s="1223"/>
      <c r="I1045" s="593" t="s">
        <v>452</v>
      </c>
      <c r="J1045" s="1597" t="s">
        <v>354</v>
      </c>
      <c r="K1045" s="1093">
        <f ca="1">CELL("row",'記入シート'!G532)</f>
        <v>532</v>
      </c>
      <c r="L1045" s="1599">
        <v>2</v>
      </c>
      <c r="M1045" s="1603">
        <f>M1010</f>
        <v>130</v>
      </c>
      <c r="N1045" s="1601" t="s">
        <v>147</v>
      </c>
      <c r="O1045" s="1606">
        <f>O1037-O1043</f>
        <v>0</v>
      </c>
      <c r="P1045" s="1604" t="s">
        <v>453</v>
      </c>
      <c r="Q1045" s="987"/>
      <c r="R1045" s="419"/>
      <c r="S1045" s="419"/>
      <c r="T1045" s="419"/>
    </row>
    <row r="1046" spans="2:20" ht="19.5" customHeight="1">
      <c r="B1046" s="1304"/>
      <c r="C1046" s="1304"/>
      <c r="D1046" s="1303"/>
      <c r="E1046" s="662" t="s">
        <v>403</v>
      </c>
      <c r="F1046" s="613" t="s">
        <v>461</v>
      </c>
      <c r="G1046" s="1222">
        <f>$L$60-G1045</f>
        <v>2</v>
      </c>
      <c r="H1046" s="1223"/>
      <c r="I1046" s="593" t="s">
        <v>452</v>
      </c>
      <c r="J1046" s="1597"/>
      <c r="K1046" s="1084"/>
      <c r="L1046" s="1599"/>
      <c r="M1046" s="1603"/>
      <c r="N1046" s="1616"/>
      <c r="O1046" s="1613"/>
      <c r="P1046" s="1584"/>
      <c r="Q1046" s="988"/>
      <c r="R1046" s="419"/>
      <c r="S1046" s="419"/>
      <c r="T1046" s="419"/>
    </row>
    <row r="1047" spans="2:20" ht="19.5" customHeight="1">
      <c r="B1047" s="1304"/>
      <c r="C1047" s="1304"/>
      <c r="D1047" s="1303"/>
      <c r="E1047" s="662" t="s">
        <v>295</v>
      </c>
      <c r="F1047" s="613" t="s">
        <v>4</v>
      </c>
      <c r="G1047" s="1222">
        <f>LEN(LEFT('記入シート'!N532,2))</f>
        <v>0</v>
      </c>
      <c r="H1047" s="1223"/>
      <c r="I1047" s="593" t="s">
        <v>452</v>
      </c>
      <c r="J1047" s="1597" t="s">
        <v>355</v>
      </c>
      <c r="K1047" s="1093">
        <f ca="1">CELL("row",'記入シート'!N532)</f>
        <v>532</v>
      </c>
      <c r="L1047" s="1599">
        <v>2</v>
      </c>
      <c r="M1047" s="1603">
        <f>M1010</f>
        <v>130</v>
      </c>
      <c r="N1047" s="1595" t="s">
        <v>178</v>
      </c>
      <c r="O1047" s="1606">
        <f>IF(G1047=0,0,1)</f>
        <v>0</v>
      </c>
      <c r="P1047" s="1604" t="s">
        <v>453</v>
      </c>
      <c r="Q1047" s="503" t="s">
        <v>7</v>
      </c>
      <c r="R1047" s="419"/>
      <c r="S1047" s="419"/>
      <c r="T1047" s="419"/>
    </row>
    <row r="1048" spans="2:20" ht="19.5" customHeight="1">
      <c r="B1048" s="1304"/>
      <c r="C1048" s="1304"/>
      <c r="D1048" s="1303"/>
      <c r="E1048" s="662"/>
      <c r="F1048" s="613" t="s">
        <v>5</v>
      </c>
      <c r="G1048" s="1222">
        <f>$L$62-G1047</f>
        <v>2</v>
      </c>
      <c r="H1048" s="1223"/>
      <c r="I1048" s="593" t="s">
        <v>452</v>
      </c>
      <c r="J1048" s="1597"/>
      <c r="K1048" s="1084"/>
      <c r="L1048" s="1599"/>
      <c r="M1048" s="1603"/>
      <c r="N1048" s="1596"/>
      <c r="O1048" s="1613"/>
      <c r="P1048" s="1584"/>
      <c r="Q1048" s="986">
        <f>IF(G1021="OVER","",IF(G1014=0,"",IF(O1047=0,REPT("　",5*O1049),CONCATENATE(REPT("　",G1048),LEFT('記入シート'!N532,L1047),"／",REPT("　",G1050),LEFT('記入シート'!Q532,L1049),REPT("　",5*O1049)))))</f>
      </c>
      <c r="R1048" s="419"/>
      <c r="S1048" s="419"/>
      <c r="T1048" s="419"/>
    </row>
    <row r="1049" spans="2:20" ht="19.5" customHeight="1">
      <c r="B1049" s="1304"/>
      <c r="C1049" s="1304"/>
      <c r="D1049" s="1303"/>
      <c r="E1049" s="662"/>
      <c r="F1049" s="613" t="s">
        <v>462</v>
      </c>
      <c r="G1049" s="1222">
        <f>LEN(LEFT('記入シート'!Q532,2))</f>
        <v>0</v>
      </c>
      <c r="H1049" s="1223"/>
      <c r="I1049" s="593" t="s">
        <v>452</v>
      </c>
      <c r="J1049" s="1597" t="s">
        <v>356</v>
      </c>
      <c r="K1049" s="1093">
        <f ca="1">CELL("row",'記入シート'!Q532)</f>
        <v>532</v>
      </c>
      <c r="L1049" s="1599">
        <v>2</v>
      </c>
      <c r="M1049" s="1603">
        <f>M1010</f>
        <v>130</v>
      </c>
      <c r="N1049" s="1601" t="s">
        <v>180</v>
      </c>
      <c r="O1049" s="1606">
        <f>O1037-O1047</f>
        <v>0</v>
      </c>
      <c r="P1049" s="1604" t="s">
        <v>453</v>
      </c>
      <c r="Q1049" s="987"/>
      <c r="R1049" s="419"/>
      <c r="S1049" s="419"/>
      <c r="T1049" s="419"/>
    </row>
    <row r="1050" spans="2:20" ht="19.5" customHeight="1" thickBot="1">
      <c r="B1050" s="1304"/>
      <c r="C1050" s="1304"/>
      <c r="D1050" s="1303"/>
      <c r="E1050" s="663"/>
      <c r="F1050" s="613" t="s">
        <v>463</v>
      </c>
      <c r="G1050" s="1444">
        <f>$L$64-G1049</f>
        <v>2</v>
      </c>
      <c r="H1050" s="1445"/>
      <c r="I1050" s="593" t="s">
        <v>452</v>
      </c>
      <c r="J1050" s="1598"/>
      <c r="K1050" s="1094"/>
      <c r="L1050" s="1600"/>
      <c r="M1050" s="1611"/>
      <c r="N1050" s="1602"/>
      <c r="O1050" s="1607"/>
      <c r="P1050" s="1605"/>
      <c r="Q1050" s="989"/>
      <c r="R1050" s="419"/>
      <c r="S1050" s="419"/>
      <c r="T1050" s="419"/>
    </row>
    <row r="1051" spans="2:20" ht="19.5" customHeight="1">
      <c r="B1051" s="1304"/>
      <c r="C1051" s="1304"/>
      <c r="D1051" s="1303" t="s">
        <v>276</v>
      </c>
      <c r="E1051" s="662" t="s">
        <v>404</v>
      </c>
      <c r="F1051" s="626" t="s">
        <v>420</v>
      </c>
      <c r="G1051" s="1318">
        <f>LEN(LEFT('記入シート'!C535,L1051))</f>
        <v>0</v>
      </c>
      <c r="H1051" s="1319"/>
      <c r="I1051" s="627" t="s">
        <v>452</v>
      </c>
      <c r="J1051" s="1313" t="s">
        <v>352</v>
      </c>
      <c r="K1051" s="1095">
        <f ca="1">CELL("row",'記入シート'!C535)</f>
        <v>535</v>
      </c>
      <c r="L1051" s="1326">
        <f>$L$66</f>
        <v>1</v>
      </c>
      <c r="M1051" s="1083">
        <f>M1010</f>
        <v>130</v>
      </c>
      <c r="N1051" s="1612" t="s">
        <v>10</v>
      </c>
      <c r="O1051" s="1329">
        <f>IF(G1051=0,0,1)</f>
        <v>0</v>
      </c>
      <c r="P1051" s="1331" t="s">
        <v>453</v>
      </c>
      <c r="Q1051" s="639">
        <f>IF(G1021="OVER","",IF(G1012=0,"",CONCATENATE(LEFT('記入シート'!C535,1),REPT("　",O1053))))</f>
      </c>
      <c r="R1051" s="419"/>
      <c r="S1051" s="419"/>
      <c r="T1051" s="419"/>
    </row>
    <row r="1052" spans="2:20" ht="19.5" customHeight="1">
      <c r="B1052" s="1304"/>
      <c r="C1052" s="1304"/>
      <c r="D1052" s="1303"/>
      <c r="E1052" s="629" t="s">
        <v>295</v>
      </c>
      <c r="F1052" s="785" t="s">
        <v>460</v>
      </c>
      <c r="G1052" s="1222">
        <f>$L$66-G1051</f>
        <v>1</v>
      </c>
      <c r="H1052" s="1223"/>
      <c r="I1052" s="593" t="s">
        <v>452</v>
      </c>
      <c r="J1052" s="1089"/>
      <c r="K1052" s="1096"/>
      <c r="L1052" s="1070"/>
      <c r="M1052" s="1081"/>
      <c r="N1052" s="1596"/>
      <c r="O1052" s="1613"/>
      <c r="P1052" s="1584"/>
      <c r="Q1052" s="464"/>
      <c r="R1052" s="419"/>
      <c r="S1052" s="419"/>
      <c r="T1052" s="419"/>
    </row>
    <row r="1053" spans="2:20" ht="19.5" customHeight="1" thickBot="1">
      <c r="B1053" s="1305"/>
      <c r="C1053" s="1305"/>
      <c r="D1053" s="1306"/>
      <c r="E1053" s="675"/>
      <c r="F1053" s="640" t="s">
        <v>158</v>
      </c>
      <c r="G1053" s="786" t="s">
        <v>159</v>
      </c>
      <c r="H1053" s="452">
        <f>WIDECHAR('記入シート'!C535)</f>
      </c>
      <c r="I1053" s="787" t="s">
        <v>160</v>
      </c>
      <c r="J1053" s="1608"/>
      <c r="K1053" s="1097"/>
      <c r="L1053" s="1609"/>
      <c r="M1053" s="1610"/>
      <c r="N1053" s="617" t="s">
        <v>148</v>
      </c>
      <c r="O1053" s="780">
        <f>O1037-O1051</f>
        <v>0</v>
      </c>
      <c r="P1053" s="618" t="s">
        <v>453</v>
      </c>
      <c r="Q1053" s="419"/>
      <c r="R1053" s="419"/>
      <c r="S1053" s="419"/>
      <c r="T1053" s="419"/>
    </row>
    <row r="1054" spans="2:20" ht="19.5" customHeight="1" thickTop="1">
      <c r="B1054" s="1312" t="s">
        <v>133</v>
      </c>
      <c r="C1054" s="1312" t="s">
        <v>400</v>
      </c>
      <c r="D1054" s="1912" t="s">
        <v>12</v>
      </c>
      <c r="E1054" s="656" t="s">
        <v>13</v>
      </c>
      <c r="F1054" s="657"/>
      <c r="G1054" s="1659">
        <f>O861+O905+O949+O993+O1037</f>
        <v>0</v>
      </c>
      <c r="H1054" s="1660"/>
      <c r="I1054" s="1035" t="s">
        <v>453</v>
      </c>
      <c r="J1054" s="1056" t="s">
        <v>400</v>
      </c>
      <c r="K1054" s="1041"/>
      <c r="L1054" s="1042"/>
      <c r="M1054" s="1032" t="str">
        <f>IF(G1061="OVER","※＃４は超過しているため表示できません",CONCATENATE(REPT("　",G1072*$L$32),Q834,Q878,Q922,Q966,Q1010,REPT("　",(G1058-G1054+G1076)*$L$32)))</f>
        <v>　　　　　　　　　　　　　　　　　　　</v>
      </c>
      <c r="N1054" s="466"/>
      <c r="O1054" s="466"/>
      <c r="P1054" s="466"/>
      <c r="Q1054" s="466"/>
      <c r="R1054" s="466"/>
      <c r="S1054" s="466"/>
      <c r="T1054" s="466"/>
    </row>
    <row r="1055" spans="2:20" ht="19.5" customHeight="1">
      <c r="B1055" s="1304"/>
      <c r="C1055" s="1304"/>
      <c r="D1055" s="1913"/>
      <c r="E1055" s="1723" t="s">
        <v>17</v>
      </c>
      <c r="F1055" s="1724"/>
      <c r="G1055" s="1119" t="str">
        <f>IF(G1054&gt;J799,"OVER","INSIDE")</f>
        <v>INSIDE</v>
      </c>
      <c r="H1055" s="1508"/>
      <c r="I1055" s="1515"/>
      <c r="J1055" s="1053" t="s">
        <v>401</v>
      </c>
      <c r="K1055" s="1054"/>
      <c r="L1055" s="1055"/>
      <c r="M1055" s="467" t="str">
        <f>IF(G1061="OVER","※　OVER",CONCATENATE(REPT("　",G1072*$L$40),Q846,Q890,Q934,Q978,Q1022,REPT("　",(G1058-G1054+G1076)*$L$40)))</f>
        <v>　　　　　　</v>
      </c>
      <c r="N1055" s="468"/>
      <c r="O1055" s="468"/>
      <c r="P1055" s="468"/>
      <c r="Q1055" s="468"/>
      <c r="R1055" s="468"/>
      <c r="S1055" s="468"/>
      <c r="T1055" s="468"/>
    </row>
    <row r="1056" spans="2:20" ht="19.5" customHeight="1">
      <c r="B1056" s="1304"/>
      <c r="C1056" s="1304"/>
      <c r="D1056" s="1913"/>
      <c r="E1056" s="1725"/>
      <c r="F1056" s="1726"/>
      <c r="G1056" s="1113"/>
      <c r="H1056" s="1108"/>
      <c r="I1056" s="1516"/>
      <c r="J1056" s="1076" t="s">
        <v>402</v>
      </c>
      <c r="K1056" s="1077"/>
      <c r="L1056" s="1069"/>
      <c r="M1056" s="571" t="str">
        <f>IF(G1061="OVER","※　OVER",CONCATENATE(REPT("　",G1072*$L$49),Q856,Q900,Q944,Q988,Q1032,REPT("　",(G1058-G1054+G1076)*$L$49)))</f>
        <v>　　　　　　</v>
      </c>
      <c r="N1056" s="572"/>
      <c r="O1056" s="572"/>
      <c r="P1056" s="572"/>
      <c r="Q1056" s="572"/>
      <c r="R1056" s="572"/>
      <c r="S1056" s="572"/>
      <c r="T1056" s="572"/>
    </row>
    <row r="1057" spans="2:20" ht="19.5" customHeight="1">
      <c r="B1057" s="1304"/>
      <c r="C1057" s="1304"/>
      <c r="D1057" s="1913"/>
      <c r="E1057" s="658"/>
      <c r="F1057" s="605"/>
      <c r="G1057" s="1226"/>
      <c r="H1057" s="1227"/>
      <c r="I1057" s="772"/>
      <c r="J1057" s="1068" t="s">
        <v>6</v>
      </c>
      <c r="K1057" s="1057"/>
      <c r="L1057" s="1058"/>
      <c r="M1057" s="470" t="str">
        <f>IF(G1061="OVER","※OVER",CONCATENATE(REPT("　",G1072*5),Q868,Q912,Q956,Q1000,Q1044,REPT("　",(G1058-G1054+G1076)*5)))</f>
        <v>　　　　　</v>
      </c>
      <c r="N1057" s="471"/>
      <c r="O1057" s="471"/>
      <c r="P1057" s="471"/>
      <c r="Q1057" s="471"/>
      <c r="R1057" s="471"/>
      <c r="S1057" s="471"/>
      <c r="T1057" s="471"/>
    </row>
    <row r="1058" spans="2:20" ht="19.5" customHeight="1">
      <c r="B1058" s="1304"/>
      <c r="C1058" s="1304"/>
      <c r="D1058" s="1913"/>
      <c r="E1058" s="1723" t="s">
        <v>18</v>
      </c>
      <c r="F1058" s="1724"/>
      <c r="G1058" s="1224">
        <f>MAX(G805,G816,G827,G1054)</f>
        <v>0</v>
      </c>
      <c r="H1058" s="1225"/>
      <c r="I1058" s="1509" t="s">
        <v>453</v>
      </c>
      <c r="J1058" s="1065" t="s">
        <v>7</v>
      </c>
      <c r="K1058" s="1066"/>
      <c r="L1058" s="1067"/>
      <c r="M1058" s="472" t="str">
        <f>IF(G1061="OVER","※OVER",CONCATENATE(REPT("　",G1072*5),Q872,Q916,Q960,Q1004,Q1048,REPT("　",(G1058-G1054+G1076)*5)))</f>
        <v>　　　　　</v>
      </c>
      <c r="N1058" s="473"/>
      <c r="O1058" s="473"/>
      <c r="P1058" s="473"/>
      <c r="Q1058" s="473"/>
      <c r="R1058" s="473"/>
      <c r="S1058" s="473"/>
      <c r="T1058" s="473"/>
    </row>
    <row r="1059" spans="2:20" ht="19.5" customHeight="1">
      <c r="B1059" s="1911"/>
      <c r="C1059" s="1911"/>
      <c r="D1059" s="1914"/>
      <c r="E1059" s="1725"/>
      <c r="F1059" s="1726"/>
      <c r="G1059" s="1454"/>
      <c r="H1059" s="1455"/>
      <c r="I1059" s="1510"/>
      <c r="J1059" s="1079" t="s">
        <v>404</v>
      </c>
      <c r="K1059" s="1080"/>
      <c r="L1059" s="1075"/>
      <c r="M1059" s="474" t="str">
        <f>IF(G1061="OVER","※",CONCATENATE(REPT("　",G1072),Q875,Q919,Q963,Q1007,Q1051,REPT("　",(G1058-G1054+G1076))))</f>
        <v>　</v>
      </c>
      <c r="N1059" s="475"/>
      <c r="O1059" s="475"/>
      <c r="P1059" s="475"/>
      <c r="Q1059" s="475"/>
      <c r="R1059" s="475"/>
      <c r="S1059" s="475"/>
      <c r="T1059" s="475"/>
    </row>
    <row r="1060" spans="2:20" ht="21" customHeight="1">
      <c r="B1060" s="1591" t="s">
        <v>128</v>
      </c>
      <c r="C1060" s="1592"/>
      <c r="D1060" s="1592"/>
      <c r="E1060" s="628" t="s">
        <v>134</v>
      </c>
      <c r="F1060" s="628"/>
      <c r="G1060" s="1224">
        <f>MIN(G805,G816,G827,G1055)</f>
        <v>0</v>
      </c>
      <c r="H1060" s="1225"/>
      <c r="I1060" s="696" t="s">
        <v>453</v>
      </c>
      <c r="J1060" s="1018"/>
      <c r="L1060" s="194"/>
      <c r="M1060" s="195"/>
      <c r="N1060" s="195"/>
      <c r="O1060" s="196"/>
      <c r="P1060" s="197"/>
      <c r="Q1060" s="193"/>
      <c r="R1060" s="193"/>
      <c r="S1060" s="193"/>
      <c r="T1060" s="193"/>
    </row>
    <row r="1061" spans="2:20" ht="21" customHeight="1" thickBot="1">
      <c r="B1061" s="1593"/>
      <c r="C1061" s="1594"/>
      <c r="D1061" s="1594"/>
      <c r="E1061" s="610" t="s">
        <v>321</v>
      </c>
      <c r="F1061" s="609"/>
      <c r="G1061" s="1119" t="str">
        <f>IF(MAX(G805,G816,G827,G1054)&gt;J799,"OVER","INSIDE")</f>
        <v>INSIDE</v>
      </c>
      <c r="H1061" s="1508"/>
      <c r="I1061" s="1120"/>
      <c r="J1061" s="1018"/>
      <c r="L1061" s="194"/>
      <c r="M1061" s="195"/>
      <c r="N1061" s="195"/>
      <c r="O1061" s="196"/>
      <c r="P1061" s="197"/>
      <c r="Q1061" s="193"/>
      <c r="R1061" s="193"/>
      <c r="S1061" s="193"/>
      <c r="T1061" s="193"/>
    </row>
    <row r="1062" spans="2:20" ht="19.5" customHeight="1">
      <c r="B1062" s="1465" t="s">
        <v>370</v>
      </c>
      <c r="C1062" s="1466"/>
      <c r="D1062" s="1466"/>
      <c r="E1062" s="1466"/>
      <c r="F1062" s="1467"/>
      <c r="G1062" s="1318">
        <f>G794+G797</f>
        <v>3</v>
      </c>
      <c r="H1062" s="1319"/>
      <c r="I1062" s="590" t="s">
        <v>453</v>
      </c>
      <c r="J1062" s="1018"/>
      <c r="K1062" s="380"/>
      <c r="L1062" s="774"/>
      <c r="M1062" s="775"/>
      <c r="N1062" s="775"/>
      <c r="O1062" s="775"/>
      <c r="P1062" s="775"/>
      <c r="Q1062" s="775"/>
      <c r="R1062" s="775"/>
      <c r="S1062" s="775"/>
      <c r="T1062" s="775"/>
    </row>
    <row r="1063" spans="2:20" ht="19.5" customHeight="1">
      <c r="B1063" s="1456" t="s">
        <v>371</v>
      </c>
      <c r="C1063" s="1457"/>
      <c r="D1063" s="1457"/>
      <c r="E1063" s="1457"/>
      <c r="F1063" s="1090"/>
      <c r="G1063" s="1222">
        <f>ROUNDUP(G1062/27,0)</f>
        <v>1</v>
      </c>
      <c r="H1063" s="1223"/>
      <c r="I1063" s="578" t="s">
        <v>36</v>
      </c>
      <c r="J1063" s="1018"/>
      <c r="K1063" s="380"/>
      <c r="L1063" s="774"/>
      <c r="M1063" s="775"/>
      <c r="N1063" s="775"/>
      <c r="O1063" s="775"/>
      <c r="P1063" s="775"/>
      <c r="Q1063" s="775"/>
      <c r="R1063" s="775"/>
      <c r="S1063" s="775"/>
      <c r="T1063" s="775"/>
    </row>
    <row r="1064" spans="2:20" ht="19.5" customHeight="1">
      <c r="B1064" s="1456" t="s">
        <v>372</v>
      </c>
      <c r="C1064" s="1457"/>
      <c r="D1064" s="1457"/>
      <c r="E1064" s="1457"/>
      <c r="F1064" s="1090"/>
      <c r="G1064" s="1222">
        <f>G1062+G1058</f>
        <v>3</v>
      </c>
      <c r="H1064" s="1223"/>
      <c r="I1064" s="592" t="s">
        <v>453</v>
      </c>
      <c r="J1064" s="1018"/>
      <c r="K1064" s="380"/>
      <c r="L1064" s="774"/>
      <c r="M1064" s="775"/>
      <c r="N1064" s="775"/>
      <c r="O1064" s="775"/>
      <c r="P1064" s="775"/>
      <c r="Q1064" s="775"/>
      <c r="R1064" s="775"/>
      <c r="S1064" s="775"/>
      <c r="T1064" s="775"/>
    </row>
    <row r="1065" spans="2:20" ht="19.5" customHeight="1">
      <c r="B1065" s="1461"/>
      <c r="C1065" s="1462"/>
      <c r="D1065" s="1457" t="s">
        <v>373</v>
      </c>
      <c r="E1065" s="1457"/>
      <c r="F1065" s="1090"/>
      <c r="G1065" s="1438">
        <f>G1062+G805</f>
        <v>3</v>
      </c>
      <c r="H1065" s="1439"/>
      <c r="I1065" s="592" t="s">
        <v>453</v>
      </c>
      <c r="J1065" s="1018"/>
      <c r="K1065" s="380"/>
      <c r="L1065" s="774"/>
      <c r="M1065" s="775"/>
      <c r="N1065" s="775"/>
      <c r="O1065" s="775"/>
      <c r="P1065" s="775"/>
      <c r="Q1065" s="775"/>
      <c r="R1065" s="775"/>
      <c r="S1065" s="775"/>
      <c r="T1065" s="775"/>
    </row>
    <row r="1066" spans="2:20" ht="19.5" customHeight="1">
      <c r="B1066" s="1463"/>
      <c r="C1066" s="1464"/>
      <c r="D1066" s="1457" t="s">
        <v>374</v>
      </c>
      <c r="E1066" s="1457"/>
      <c r="F1066" s="1090"/>
      <c r="G1066" s="1222">
        <f>G1062+G816</f>
        <v>3</v>
      </c>
      <c r="H1066" s="1223"/>
      <c r="I1066" s="592" t="s">
        <v>453</v>
      </c>
      <c r="J1066" s="1018"/>
      <c r="K1066" s="380"/>
      <c r="L1066" s="774"/>
      <c r="M1066" s="775"/>
      <c r="N1066" s="775"/>
      <c r="O1066" s="775"/>
      <c r="P1066" s="775"/>
      <c r="Q1066" s="775"/>
      <c r="R1066" s="775"/>
      <c r="S1066" s="775"/>
      <c r="T1066" s="775"/>
    </row>
    <row r="1067" spans="2:20" ht="19.5" customHeight="1">
      <c r="B1067" s="1463"/>
      <c r="C1067" s="1464"/>
      <c r="D1067" s="1457" t="s">
        <v>375</v>
      </c>
      <c r="E1067" s="1457"/>
      <c r="F1067" s="1090"/>
      <c r="G1067" s="1222">
        <f>G1062+G827</f>
        <v>3</v>
      </c>
      <c r="H1067" s="1223"/>
      <c r="I1067" s="592" t="s">
        <v>453</v>
      </c>
      <c r="J1067" s="1018"/>
      <c r="K1067" s="380"/>
      <c r="L1067" s="774"/>
      <c r="M1067" s="775"/>
      <c r="N1067" s="775"/>
      <c r="O1067" s="775"/>
      <c r="P1067" s="775"/>
      <c r="Q1067" s="775"/>
      <c r="R1067" s="775"/>
      <c r="S1067" s="775"/>
      <c r="T1067" s="775"/>
    </row>
    <row r="1068" spans="2:20" ht="19.5" customHeight="1">
      <c r="B1068" s="864"/>
      <c r="C1068" s="826"/>
      <c r="D1068" s="1457" t="s">
        <v>47</v>
      </c>
      <c r="E1068" s="1457"/>
      <c r="F1068" s="1090"/>
      <c r="G1068" s="1222">
        <f>MAX(G1065,G1066,G1067)</f>
        <v>3</v>
      </c>
      <c r="H1068" s="1223"/>
      <c r="I1068" s="592" t="s">
        <v>453</v>
      </c>
      <c r="J1068" s="1018"/>
      <c r="K1068" s="380"/>
      <c r="L1068" s="774"/>
      <c r="M1068" s="775"/>
      <c r="N1068" s="775"/>
      <c r="O1068" s="775"/>
      <c r="P1068" s="775"/>
      <c r="Q1068" s="775"/>
      <c r="R1068" s="775"/>
      <c r="S1068" s="775"/>
      <c r="T1068" s="775"/>
    </row>
    <row r="1069" spans="2:20" ht="19.5" customHeight="1">
      <c r="B1069" s="864"/>
      <c r="C1069" s="827"/>
      <c r="D1069" s="1457" t="s">
        <v>48</v>
      </c>
      <c r="E1069" s="1457"/>
      <c r="F1069" s="1090"/>
      <c r="G1069" s="1222">
        <f>ROUNDUP(G1068/27,0)</f>
        <v>1</v>
      </c>
      <c r="H1069" s="1223"/>
      <c r="I1069" s="578" t="s">
        <v>36</v>
      </c>
      <c r="J1069" s="1018"/>
      <c r="K1069" s="380"/>
      <c r="L1069" s="774"/>
      <c r="M1069" s="775"/>
      <c r="N1069" s="775"/>
      <c r="O1069" s="775"/>
      <c r="P1069" s="775"/>
      <c r="Q1069" s="775"/>
      <c r="R1069" s="775"/>
      <c r="S1069" s="775"/>
      <c r="T1069" s="775"/>
    </row>
    <row r="1070" spans="2:20" ht="19.5" customHeight="1">
      <c r="B1070" s="864"/>
      <c r="C1070" s="827"/>
      <c r="D1070" s="1457" t="s">
        <v>376</v>
      </c>
      <c r="E1070" s="1457"/>
      <c r="F1070" s="1090"/>
      <c r="G1070" s="1336" t="str">
        <f>IF(G795=G1069,"同じ","違う")</f>
        <v>同じ</v>
      </c>
      <c r="H1070" s="1337"/>
      <c r="I1070" s="1338"/>
      <c r="J1070" s="1018"/>
      <c r="K1070" s="380"/>
      <c r="L1070" s="774"/>
      <c r="M1070" s="775"/>
      <c r="N1070" s="775"/>
      <c r="O1070" s="775"/>
      <c r="P1070" s="775"/>
      <c r="Q1070" s="775"/>
      <c r="R1070" s="775"/>
      <c r="S1070" s="775"/>
      <c r="T1070" s="775"/>
    </row>
    <row r="1071" spans="2:20" ht="19.5" customHeight="1">
      <c r="B1071" s="865"/>
      <c r="C1071" s="828"/>
      <c r="D1071" s="1456" t="s">
        <v>369</v>
      </c>
      <c r="E1071" s="1457"/>
      <c r="F1071" s="1090"/>
      <c r="G1071" s="1336" t="str">
        <f>IF(G1070="同じ","不要","必要")</f>
        <v>不要</v>
      </c>
      <c r="H1071" s="1337"/>
      <c r="I1071" s="1338"/>
      <c r="J1071" s="1073" t="s">
        <v>362</v>
      </c>
      <c r="K1071" s="1074"/>
      <c r="L1071" s="1217" t="s">
        <v>359</v>
      </c>
      <c r="M1071" s="1218"/>
      <c r="N1071" s="1219"/>
      <c r="O1071" s="993">
        <f>IF(G1071="必要",G1063+1,G1063)</f>
        <v>1</v>
      </c>
      <c r="P1071" s="994" t="s">
        <v>36</v>
      </c>
      <c r="Q1071" s="775"/>
      <c r="R1071" s="775"/>
      <c r="S1071" s="775"/>
      <c r="T1071" s="775"/>
    </row>
    <row r="1072" spans="2:20" ht="19.5" customHeight="1">
      <c r="B1072" s="1456" t="s">
        <v>39</v>
      </c>
      <c r="C1072" s="1457"/>
      <c r="D1072" s="1457"/>
      <c r="E1072" s="1457"/>
      <c r="F1072" s="1090"/>
      <c r="G1072" s="1222">
        <f>IF(G1071="必要",G1063*27-G1062,0)</f>
        <v>0</v>
      </c>
      <c r="H1072" s="1223"/>
      <c r="I1072" s="578" t="s">
        <v>453</v>
      </c>
      <c r="J1072" s="1018"/>
      <c r="K1072" s="380"/>
      <c r="L1072" s="990" t="s">
        <v>357</v>
      </c>
      <c r="M1072" s="991"/>
      <c r="N1072" s="992"/>
      <c r="O1072" s="1220" t="str">
        <f>IF(O1071&gt;$G$8,"ＯＶＥＲ","ＩＮＳＩＤＥ")</f>
        <v>ＩＮＳＩＤＥ</v>
      </c>
      <c r="P1072" s="1221"/>
      <c r="Q1072" s="775"/>
      <c r="R1072" s="775"/>
      <c r="S1072" s="775"/>
      <c r="T1072" s="775"/>
    </row>
    <row r="1073" spans="2:20" ht="19.5" customHeight="1">
      <c r="B1073" s="1456" t="s">
        <v>377</v>
      </c>
      <c r="C1073" s="1457"/>
      <c r="D1073" s="1457"/>
      <c r="E1073" s="1457"/>
      <c r="F1073" s="1090"/>
      <c r="G1073" s="1222">
        <f>G1062+G1072+G1058</f>
        <v>3</v>
      </c>
      <c r="H1073" s="1223"/>
      <c r="I1073" s="578"/>
      <c r="J1073" s="1018"/>
      <c r="K1073" s="380"/>
      <c r="L1073" s="774"/>
      <c r="M1073" s="775"/>
      <c r="N1073" s="775"/>
      <c r="O1073" s="775"/>
      <c r="P1073" s="775"/>
      <c r="Q1073" s="775"/>
      <c r="R1073" s="775"/>
      <c r="S1073" s="775"/>
      <c r="T1073" s="775"/>
    </row>
    <row r="1074" spans="2:20" ht="19.5" customHeight="1">
      <c r="B1074" s="1456" t="s">
        <v>367</v>
      </c>
      <c r="C1074" s="1457"/>
      <c r="D1074" s="1457"/>
      <c r="E1074" s="1457"/>
      <c r="F1074" s="1090"/>
      <c r="G1074" s="1222">
        <f>ROUNDUP(G1073/27,0)</f>
        <v>1</v>
      </c>
      <c r="H1074" s="1223"/>
      <c r="I1074" s="578"/>
      <c r="J1074" s="1018"/>
      <c r="K1074" s="380"/>
      <c r="L1074" s="774"/>
      <c r="M1074" s="775"/>
      <c r="N1074" s="775"/>
      <c r="O1074" s="775"/>
      <c r="P1074" s="775"/>
      <c r="Q1074" s="775"/>
      <c r="R1074" s="775"/>
      <c r="S1074" s="775"/>
      <c r="T1074" s="775"/>
    </row>
    <row r="1075" spans="2:20" ht="19.5" customHeight="1">
      <c r="B1075" s="1456" t="s">
        <v>378</v>
      </c>
      <c r="C1075" s="1457"/>
      <c r="D1075" s="1457"/>
      <c r="E1075" s="1457"/>
      <c r="F1075" s="1090"/>
      <c r="G1075" s="1336" t="str">
        <f>IF(L1075=TRUE,"最終行","最終以外")</f>
        <v>最終以外</v>
      </c>
      <c r="H1075" s="1337"/>
      <c r="I1075" s="1338"/>
      <c r="J1075" s="1061" t="s">
        <v>43</v>
      </c>
      <c r="K1075" s="1062"/>
      <c r="L1075" s="815" t="b">
        <f>OR(G1073=27,G1073=54,G1073=81,G1073=108,G1073=135)</f>
        <v>0</v>
      </c>
      <c r="M1075" s="813"/>
      <c r="N1075" s="814"/>
      <c r="O1075" s="775"/>
      <c r="P1075" s="775"/>
      <c r="Q1075" s="775"/>
      <c r="R1075" s="775"/>
      <c r="S1075" s="775"/>
      <c r="T1075" s="775"/>
    </row>
    <row r="1076" spans="2:20" ht="19.5" customHeight="1" thickBot="1">
      <c r="B1076" s="1456" t="s">
        <v>379</v>
      </c>
      <c r="C1076" s="1457"/>
      <c r="D1076" s="1457"/>
      <c r="E1076" s="1457"/>
      <c r="F1076" s="1090"/>
      <c r="G1076" s="1222">
        <f>IF(L1075=TRUE,0,1)</f>
        <v>1</v>
      </c>
      <c r="H1076" s="1223"/>
      <c r="I1076" s="823"/>
      <c r="J1076" s="1063" t="s">
        <v>54</v>
      </c>
      <c r="K1076" s="1064"/>
      <c r="L1076" s="1064"/>
      <c r="M1076" s="1064"/>
      <c r="N1076" s="1064"/>
      <c r="O1076" s="775"/>
      <c r="P1076" s="775"/>
      <c r="Q1076" s="775"/>
      <c r="R1076" s="775"/>
      <c r="S1076" s="775"/>
      <c r="T1076" s="775"/>
    </row>
    <row r="1077" spans="2:20" ht="21" customHeight="1" thickBot="1" thickTop="1">
      <c r="B1077" s="1953" t="s">
        <v>166</v>
      </c>
      <c r="C1077" s="1954"/>
      <c r="D1077" s="1954"/>
      <c r="E1077" s="1954"/>
      <c r="F1077" s="1955"/>
      <c r="G1077" s="1956">
        <f>IF(J799-G1058-G1076&lt;0,0,J799-G1058-G1076)</f>
        <v>129</v>
      </c>
      <c r="H1077" s="1957"/>
      <c r="I1077" s="790" t="s">
        <v>453</v>
      </c>
      <c r="L1077" s="194"/>
      <c r="M1077" s="195"/>
      <c r="N1077" s="195"/>
      <c r="O1077" s="196"/>
      <c r="P1077" s="197"/>
      <c r="Q1077" s="193"/>
      <c r="R1077" s="193"/>
      <c r="S1077" s="193"/>
      <c r="T1077" s="193"/>
    </row>
    <row r="1078" spans="2:20" ht="19.5" customHeight="1" thickBot="1" thickTop="1">
      <c r="B1078" s="914" t="s">
        <v>311</v>
      </c>
      <c r="C1078" s="695"/>
      <c r="D1078" s="695"/>
      <c r="E1078" s="695"/>
      <c r="F1078" s="695"/>
      <c r="G1078" s="695"/>
      <c r="H1078" s="695"/>
      <c r="I1078" s="695"/>
      <c r="J1078" s="1957">
        <f>IF(G1077-G1351&lt;0,0,G1077-G1351)</f>
        <v>129</v>
      </c>
      <c r="K1078" s="1957"/>
      <c r="L1078" s="915" t="s">
        <v>325</v>
      </c>
      <c r="M1078" s="835"/>
      <c r="N1078" s="835"/>
      <c r="O1078" s="835"/>
      <c r="P1078" s="835"/>
      <c r="Q1078" s="380"/>
      <c r="R1078" s="380"/>
      <c r="S1078" s="380"/>
      <c r="T1078" s="380"/>
    </row>
    <row r="1079" spans="2:20" ht="19.5" customHeight="1" thickTop="1">
      <c r="B1079" s="1577" t="s">
        <v>296</v>
      </c>
      <c r="C1079" s="1346" t="s">
        <v>443</v>
      </c>
      <c r="D1079" s="1578" t="s">
        <v>437</v>
      </c>
      <c r="E1079" s="1579"/>
      <c r="F1079" s="1580"/>
      <c r="G1079" s="1972">
        <f>L1079*G1077</f>
        <v>1548</v>
      </c>
      <c r="H1079" s="1973"/>
      <c r="I1079" s="936" t="s">
        <v>452</v>
      </c>
      <c r="J1079" s="1275" t="s">
        <v>351</v>
      </c>
      <c r="K1079" s="1979">
        <f ca="1">CELL("row",'記入シート'!C541)</f>
        <v>541</v>
      </c>
      <c r="L1079" s="1278">
        <f>$L$10</f>
        <v>12</v>
      </c>
      <c r="M1079" s="1968">
        <f>IF(G1087/L1079&lt;0,0,G1087/L1079)</f>
        <v>129</v>
      </c>
      <c r="N1079" s="1971" t="s">
        <v>444</v>
      </c>
      <c r="O1079" s="1969">
        <f>G1337-G1084+G1355</f>
        <v>1</v>
      </c>
      <c r="P1079" s="1970" t="s">
        <v>453</v>
      </c>
      <c r="Q1079" s="1361" t="str">
        <f>IF(G1340="OVER","＃５は超過につき表示不可",IF(G1081=0,REPT("　",(G1337+G1355)*L1079),IF(G1090="OVER",CONCATENATE(REPT("　",G1351*L1079),"※　文字数が多過ぎます　※"),CONCATENATE(REPT("　",G1351*L1079),"＃５　",'記入シート'!C541,REPT("　",O1081),))))</f>
        <v>　　　　　　　　　　　　</v>
      </c>
      <c r="R1079" s="1362"/>
      <c r="S1079" s="1363"/>
      <c r="T1079" s="381"/>
    </row>
    <row r="1080" spans="2:20" ht="19.5" customHeight="1">
      <c r="B1080" s="1259"/>
      <c r="C1080" s="1346"/>
      <c r="D1080" s="933" t="s">
        <v>302</v>
      </c>
      <c r="E1080" s="934"/>
      <c r="F1080" s="935"/>
      <c r="G1080" s="1289">
        <f>IF(G1079&gt;3,G1079-3,0)</f>
        <v>1545</v>
      </c>
      <c r="H1080" s="1290"/>
      <c r="I1080" s="936" t="s">
        <v>452</v>
      </c>
      <c r="J1080" s="1275"/>
      <c r="K1080" s="1563"/>
      <c r="L1080" s="1278"/>
      <c r="M1080" s="1284"/>
      <c r="N1080" s="1529"/>
      <c r="O1080" s="1295"/>
      <c r="P1080" s="1288"/>
      <c r="Q1080" s="1364"/>
      <c r="R1080" s="1365"/>
      <c r="S1080" s="1366"/>
      <c r="T1080" s="381"/>
    </row>
    <row r="1081" spans="2:20" ht="19.5" customHeight="1">
      <c r="B1081" s="1259"/>
      <c r="C1081" s="1346"/>
      <c r="D1081" s="1581" t="s">
        <v>303</v>
      </c>
      <c r="E1081" s="1582"/>
      <c r="F1081" s="1583"/>
      <c r="G1081" s="1289">
        <f>LEN('記入シート'!C541)</f>
        <v>0</v>
      </c>
      <c r="H1081" s="1290"/>
      <c r="I1081" s="938" t="s">
        <v>452</v>
      </c>
      <c r="J1081" s="1275"/>
      <c r="K1081" s="1563"/>
      <c r="L1081" s="1278"/>
      <c r="M1081" s="1284"/>
      <c r="N1081" s="682" t="s">
        <v>445</v>
      </c>
      <c r="O1081" s="683">
        <f>ABS(G1085)+O1079*$L$10</f>
        <v>12</v>
      </c>
      <c r="P1081" s="684" t="s">
        <v>452</v>
      </c>
      <c r="Q1081" s="1364"/>
      <c r="R1081" s="1365"/>
      <c r="S1081" s="1366"/>
      <c r="T1081" s="381"/>
    </row>
    <row r="1082" spans="2:20" ht="19.5" customHeight="1">
      <c r="B1082" s="1259"/>
      <c r="C1082" s="1346"/>
      <c r="D1082" s="1581" t="s">
        <v>167</v>
      </c>
      <c r="E1082" s="1582"/>
      <c r="F1082" s="1583"/>
      <c r="G1082" s="1291" t="str">
        <f>IF(G1081&gt;G1080,"OVER","INSIDE")</f>
        <v>INSIDE</v>
      </c>
      <c r="H1082" s="1292"/>
      <c r="I1082" s="1293"/>
      <c r="J1082" s="1275"/>
      <c r="K1082" s="1563"/>
      <c r="L1082" s="1278"/>
      <c r="M1082" s="1284"/>
      <c r="N1082" s="685"/>
      <c r="O1082" s="686"/>
      <c r="P1082" s="687"/>
      <c r="Q1082" s="1364"/>
      <c r="R1082" s="1365"/>
      <c r="S1082" s="1366"/>
      <c r="T1082" s="381"/>
    </row>
    <row r="1083" spans="2:20" ht="19.5" customHeight="1">
      <c r="B1083" s="1259"/>
      <c r="C1083" s="1346"/>
      <c r="D1083" s="678" t="s">
        <v>304</v>
      </c>
      <c r="E1083" s="679"/>
      <c r="F1083" s="680"/>
      <c r="G1083" s="1226">
        <f>IF(G1081=0,0,IF(G1082="OVER",0,G1081+3))</f>
        <v>0</v>
      </c>
      <c r="H1083" s="1227"/>
      <c r="I1083" s="681" t="s">
        <v>452</v>
      </c>
      <c r="J1083" s="1275"/>
      <c r="K1083" s="1563"/>
      <c r="L1083" s="1278"/>
      <c r="M1083" s="1284"/>
      <c r="N1083" s="688"/>
      <c r="O1083" s="689"/>
      <c r="P1083" s="690"/>
      <c r="Q1083" s="1364"/>
      <c r="R1083" s="1365"/>
      <c r="S1083" s="1366"/>
      <c r="T1083" s="381"/>
    </row>
    <row r="1084" spans="2:20" ht="19.5" customHeight="1">
      <c r="B1084" s="1259"/>
      <c r="C1084" s="1346"/>
      <c r="D1084" s="1585" t="s">
        <v>451</v>
      </c>
      <c r="E1084" s="1586"/>
      <c r="F1084" s="1587"/>
      <c r="G1084" s="1226">
        <f>ROUNDUP(G1083/$L$10,0)</f>
        <v>0</v>
      </c>
      <c r="H1084" s="1227"/>
      <c r="I1084" s="681" t="s">
        <v>453</v>
      </c>
      <c r="J1084" s="1275"/>
      <c r="K1084" s="1563"/>
      <c r="L1084" s="1278"/>
      <c r="M1084" s="1284"/>
      <c r="N1084" s="688"/>
      <c r="O1084" s="689"/>
      <c r="P1084" s="690"/>
      <c r="Q1084" s="1364"/>
      <c r="R1084" s="1365"/>
      <c r="S1084" s="1366"/>
      <c r="T1084" s="381"/>
    </row>
    <row r="1085" spans="2:20" ht="19.5" customHeight="1">
      <c r="B1085" s="1259"/>
      <c r="C1085" s="1346"/>
      <c r="D1085" s="1585" t="s">
        <v>419</v>
      </c>
      <c r="E1085" s="1586"/>
      <c r="F1085" s="1587"/>
      <c r="G1085" s="1226">
        <f>G1083-G1084*$L$10</f>
        <v>0</v>
      </c>
      <c r="H1085" s="1227"/>
      <c r="I1085" s="681" t="s">
        <v>452</v>
      </c>
      <c r="J1085" s="1275"/>
      <c r="K1085" s="1563"/>
      <c r="L1085" s="1278"/>
      <c r="M1085" s="1284"/>
      <c r="N1085" s="688"/>
      <c r="O1085" s="689"/>
      <c r="P1085" s="690"/>
      <c r="Q1085" s="1364"/>
      <c r="R1085" s="1365"/>
      <c r="S1085" s="1366"/>
      <c r="T1085" s="381"/>
    </row>
    <row r="1086" spans="2:20" ht="19.5" customHeight="1" thickBot="1">
      <c r="B1086" s="1259"/>
      <c r="C1086" s="1346"/>
      <c r="D1086" s="1588" t="s">
        <v>423</v>
      </c>
      <c r="E1086" s="1589"/>
      <c r="F1086" s="1590"/>
      <c r="G1086" s="1224">
        <f>G1084*$L$10</f>
        <v>0</v>
      </c>
      <c r="H1086" s="1225"/>
      <c r="I1086" s="696" t="s">
        <v>452</v>
      </c>
      <c r="J1086" s="1275"/>
      <c r="K1086" s="1563"/>
      <c r="L1086" s="1278"/>
      <c r="M1086" s="1284"/>
      <c r="N1086" s="688"/>
      <c r="O1086" s="689"/>
      <c r="P1086" s="690"/>
      <c r="Q1086" s="1364"/>
      <c r="R1086" s="1365"/>
      <c r="S1086" s="1366"/>
      <c r="T1086" s="381"/>
    </row>
    <row r="1087" spans="2:20" ht="19.5" customHeight="1">
      <c r="B1087" s="1259"/>
      <c r="C1087" s="1345" t="s">
        <v>332</v>
      </c>
      <c r="D1087" s="691" t="s">
        <v>329</v>
      </c>
      <c r="E1087" s="692"/>
      <c r="F1087" s="693"/>
      <c r="G1087" s="1204">
        <f>J1078*L1079</f>
        <v>1548</v>
      </c>
      <c r="H1087" s="1205"/>
      <c r="I1087" s="693" t="s">
        <v>452</v>
      </c>
      <c r="J1087" s="1275"/>
      <c r="K1087" s="1563"/>
      <c r="L1087" s="1278"/>
      <c r="M1087" s="1284"/>
      <c r="N1087" s="688"/>
      <c r="O1087" s="689"/>
      <c r="P1087" s="690"/>
      <c r="Q1087" s="1364"/>
      <c r="R1087" s="1365"/>
      <c r="S1087" s="1366"/>
      <c r="T1087" s="381"/>
    </row>
    <row r="1088" spans="2:20" ht="19.5" customHeight="1">
      <c r="B1088" s="1259"/>
      <c r="C1088" s="1346"/>
      <c r="D1088" s="694" t="s">
        <v>316</v>
      </c>
      <c r="E1088" s="695"/>
      <c r="F1088" s="681"/>
      <c r="G1088" s="1206">
        <f>IF(G1087&gt;3,G1087-3,0)</f>
        <v>1545</v>
      </c>
      <c r="H1088" s="1207"/>
      <c r="I1088" s="797" t="s">
        <v>452</v>
      </c>
      <c r="J1088" s="1275"/>
      <c r="K1088" s="1563"/>
      <c r="L1088" s="1278"/>
      <c r="M1088" s="1284"/>
      <c r="N1088" s="688"/>
      <c r="O1088" s="689"/>
      <c r="P1088" s="690"/>
      <c r="Q1088" s="1364"/>
      <c r="R1088" s="1365"/>
      <c r="S1088" s="1366"/>
      <c r="T1088" s="381"/>
    </row>
    <row r="1089" spans="2:20" ht="19.5" customHeight="1">
      <c r="B1089" s="1259"/>
      <c r="C1089" s="1346"/>
      <c r="D1089" s="694" t="s">
        <v>317</v>
      </c>
      <c r="E1089" s="695"/>
      <c r="F1089" s="681"/>
      <c r="G1089" s="1224">
        <f>LEN('記入シート'!C541)</f>
        <v>0</v>
      </c>
      <c r="H1089" s="1225"/>
      <c r="I1089" s="677" t="s">
        <v>452</v>
      </c>
      <c r="J1089" s="1275"/>
      <c r="K1089" s="1563"/>
      <c r="L1089" s="1278"/>
      <c r="M1089" s="1284"/>
      <c r="N1089" s="688"/>
      <c r="O1089" s="689"/>
      <c r="P1089" s="690"/>
      <c r="Q1089" s="1364"/>
      <c r="R1089" s="1365"/>
      <c r="S1089" s="1366"/>
      <c r="T1089" s="381"/>
    </row>
    <row r="1090" spans="2:20" ht="19.5" customHeight="1" thickBot="1">
      <c r="B1090" s="1280"/>
      <c r="C1090" s="1347"/>
      <c r="D1090" s="931" t="s">
        <v>167</v>
      </c>
      <c r="E1090" s="724"/>
      <c r="F1090" s="932"/>
      <c r="G1090" s="1236" t="str">
        <f>IF(G1089&gt;G1088,"OVER","INSIDE")</f>
        <v>INSIDE</v>
      </c>
      <c r="H1090" s="1237"/>
      <c r="I1090" s="1238"/>
      <c r="J1090" s="1276"/>
      <c r="K1090" s="1573"/>
      <c r="L1090" s="1279"/>
      <c r="M1090" s="1285"/>
      <c r="N1090" s="697"/>
      <c r="O1090" s="698"/>
      <c r="P1090" s="699"/>
      <c r="Q1090" s="1367"/>
      <c r="R1090" s="1368"/>
      <c r="S1090" s="1369"/>
      <c r="T1090" s="381"/>
    </row>
    <row r="1091" spans="2:20" ht="19.5" customHeight="1">
      <c r="B1091" s="1273" t="s">
        <v>296</v>
      </c>
      <c r="C1091" s="1349" t="s">
        <v>417</v>
      </c>
      <c r="D1091" s="939" t="s">
        <v>437</v>
      </c>
      <c r="E1091" s="940"/>
      <c r="F1091" s="941"/>
      <c r="G1091" s="1574">
        <f>IF(G812-G815-O814&lt;0,0,G812-G815-O814)</f>
        <v>1290</v>
      </c>
      <c r="H1091" s="1575"/>
      <c r="I1091" s="941" t="s">
        <v>452</v>
      </c>
      <c r="J1091" s="1274" t="s">
        <v>352</v>
      </c>
      <c r="K1091" s="1562">
        <f ca="1">CELL("row",'記入シート'!C547)</f>
        <v>547</v>
      </c>
      <c r="L1091" s="1552">
        <f>$L$18</f>
        <v>10</v>
      </c>
      <c r="M1091" s="1517">
        <f>M1079</f>
        <v>129</v>
      </c>
      <c r="N1091" s="1547" t="s">
        <v>444</v>
      </c>
      <c r="O1091" s="1546">
        <f>G1337-G1095+G1355</f>
        <v>1</v>
      </c>
      <c r="P1091" s="1287" t="s">
        <v>453</v>
      </c>
      <c r="Q1091" s="1339" t="str">
        <f>IF(G1340="OVER","＃５は超過で表示不可",IF(G1092=0,REPT("　",(G1337+G1355)*L1091),IF(G1100="OVER",CONCATENATE(REPT("　",G1351*L1091),"＃５は文字数過多です"),CONCATENATE(REPT("　",G1351*L1091),'記入シート'!C547,REPT("　",O1093)))))</f>
        <v>　　　　　　　　　　</v>
      </c>
      <c r="R1091" s="1340"/>
      <c r="S1091" s="193"/>
      <c r="T1091" s="193"/>
    </row>
    <row r="1092" spans="2:20" ht="19.5" customHeight="1">
      <c r="B1092" s="1259"/>
      <c r="C1092" s="1350"/>
      <c r="D1092" s="942" t="s">
        <v>438</v>
      </c>
      <c r="E1092" s="943"/>
      <c r="F1092" s="936"/>
      <c r="G1092" s="1289">
        <f>LEN('記入シート'!C547)</f>
        <v>0</v>
      </c>
      <c r="H1092" s="1290"/>
      <c r="I1092" s="938" t="s">
        <v>452</v>
      </c>
      <c r="J1092" s="1275"/>
      <c r="K1092" s="1563"/>
      <c r="L1092" s="1278"/>
      <c r="M1092" s="1284"/>
      <c r="N1092" s="1576"/>
      <c r="O1092" s="1295"/>
      <c r="P1092" s="1288"/>
      <c r="Q1092" s="1341"/>
      <c r="R1092" s="1342"/>
      <c r="S1092" s="193"/>
      <c r="T1092" s="193"/>
    </row>
    <row r="1093" spans="2:20" ht="19.5" customHeight="1">
      <c r="B1093" s="1259"/>
      <c r="C1093" s="1350"/>
      <c r="D1093" s="937" t="s">
        <v>167</v>
      </c>
      <c r="E1093" s="943"/>
      <c r="F1093" s="936"/>
      <c r="G1093" s="1291" t="str">
        <f>IF(G1092&gt;G1091,"OVER","INSIDE")</f>
        <v>INSIDE</v>
      </c>
      <c r="H1093" s="1292"/>
      <c r="I1093" s="1293"/>
      <c r="J1093" s="1275"/>
      <c r="K1093" s="1563"/>
      <c r="L1093" s="1278"/>
      <c r="M1093" s="1284"/>
      <c r="N1093" s="682" t="s">
        <v>445</v>
      </c>
      <c r="O1093" s="683">
        <f>ABS(G1096)+O1091*$L$18</f>
        <v>10</v>
      </c>
      <c r="P1093" s="684" t="s">
        <v>452</v>
      </c>
      <c r="Q1093" s="1341"/>
      <c r="R1093" s="1342"/>
      <c r="S1093" s="193"/>
      <c r="T1093" s="193"/>
    </row>
    <row r="1094" spans="2:20" ht="19.5" customHeight="1">
      <c r="B1094" s="1259"/>
      <c r="C1094" s="1350"/>
      <c r="D1094" s="937" t="s">
        <v>170</v>
      </c>
      <c r="E1094" s="943"/>
      <c r="F1094" s="936"/>
      <c r="G1094" s="1289">
        <f>IF(G1093="OVER",0,G1092)</f>
        <v>0</v>
      </c>
      <c r="H1094" s="1290"/>
      <c r="I1094" s="938" t="s">
        <v>452</v>
      </c>
      <c r="J1094" s="1275"/>
      <c r="K1094" s="1563"/>
      <c r="L1094" s="1278"/>
      <c r="M1094" s="1284"/>
      <c r="N1094" s="688"/>
      <c r="O1094" s="689"/>
      <c r="P1094" s="690"/>
      <c r="Q1094" s="1341"/>
      <c r="R1094" s="1342"/>
      <c r="S1094" s="193"/>
      <c r="T1094" s="193"/>
    </row>
    <row r="1095" spans="2:20" ht="19.5" customHeight="1">
      <c r="B1095" s="1259"/>
      <c r="C1095" s="1350"/>
      <c r="D1095" s="694" t="s">
        <v>451</v>
      </c>
      <c r="E1095" s="695"/>
      <c r="F1095" s="677"/>
      <c r="G1095" s="1226">
        <f>ROUNDUP(G1094/L1091,0)</f>
        <v>0</v>
      </c>
      <c r="H1095" s="1227"/>
      <c r="I1095" s="681" t="s">
        <v>453</v>
      </c>
      <c r="J1095" s="1275"/>
      <c r="K1095" s="1563"/>
      <c r="L1095" s="1278"/>
      <c r="M1095" s="1284"/>
      <c r="N1095" s="688"/>
      <c r="O1095" s="689"/>
      <c r="P1095" s="690"/>
      <c r="Q1095" s="1341"/>
      <c r="R1095" s="1342"/>
      <c r="S1095" s="193"/>
      <c r="T1095" s="193"/>
    </row>
    <row r="1096" spans="2:20" ht="19.5" customHeight="1">
      <c r="B1096" s="1259"/>
      <c r="C1096" s="1350"/>
      <c r="D1096" s="694" t="s">
        <v>439</v>
      </c>
      <c r="E1096" s="695"/>
      <c r="F1096" s="681"/>
      <c r="G1096" s="1226">
        <f>G1094-G1095*L1091</f>
        <v>0</v>
      </c>
      <c r="H1096" s="1227"/>
      <c r="I1096" s="681" t="s">
        <v>452</v>
      </c>
      <c r="J1096" s="1275"/>
      <c r="K1096" s="1563"/>
      <c r="L1096" s="1278"/>
      <c r="M1096" s="1284"/>
      <c r="N1096" s="688"/>
      <c r="O1096" s="689"/>
      <c r="P1096" s="690"/>
      <c r="Q1096" s="1341"/>
      <c r="R1096" s="1342"/>
      <c r="S1096" s="193"/>
      <c r="T1096" s="193"/>
    </row>
    <row r="1097" spans="2:20" ht="19.5" customHeight="1" thickBot="1">
      <c r="B1097" s="1259"/>
      <c r="C1097" s="1350"/>
      <c r="D1097" s="700" t="s">
        <v>440</v>
      </c>
      <c r="E1097" s="701"/>
      <c r="F1097" s="696"/>
      <c r="G1097" s="1224">
        <f>G1095*L1091</f>
        <v>0</v>
      </c>
      <c r="H1097" s="1225"/>
      <c r="I1097" s="696" t="s">
        <v>452</v>
      </c>
      <c r="J1097" s="1275"/>
      <c r="K1097" s="1563"/>
      <c r="L1097" s="1278"/>
      <c r="M1097" s="1284"/>
      <c r="N1097" s="688"/>
      <c r="O1097" s="689"/>
      <c r="P1097" s="690"/>
      <c r="Q1097" s="1341"/>
      <c r="R1097" s="1342"/>
      <c r="S1097" s="193"/>
      <c r="T1097" s="193"/>
    </row>
    <row r="1098" spans="2:20" ht="19.5" customHeight="1">
      <c r="B1098" s="1259"/>
      <c r="C1098" s="1349" t="s">
        <v>332</v>
      </c>
      <c r="D1098" s="691" t="s">
        <v>437</v>
      </c>
      <c r="E1098" s="692"/>
      <c r="F1098" s="693"/>
      <c r="G1098" s="1246">
        <f>J1078*L1091</f>
        <v>1290</v>
      </c>
      <c r="H1098" s="1247"/>
      <c r="I1098" s="795" t="s">
        <v>452</v>
      </c>
      <c r="J1098" s="1275"/>
      <c r="K1098" s="1563"/>
      <c r="L1098" s="1278"/>
      <c r="M1098" s="1284"/>
      <c r="N1098" s="688"/>
      <c r="O1098" s="689"/>
      <c r="P1098" s="690"/>
      <c r="Q1098" s="1341"/>
      <c r="R1098" s="1342"/>
      <c r="S1098" s="193"/>
      <c r="T1098" s="193"/>
    </row>
    <row r="1099" spans="2:20" ht="19.5" customHeight="1">
      <c r="B1099" s="1259"/>
      <c r="C1099" s="1350"/>
      <c r="D1099" s="694" t="s">
        <v>438</v>
      </c>
      <c r="E1099" s="695"/>
      <c r="F1099" s="681"/>
      <c r="G1099" s="1226">
        <f>LEN('記入シート'!C547)</f>
        <v>0</v>
      </c>
      <c r="H1099" s="1227"/>
      <c r="I1099" s="681" t="s">
        <v>452</v>
      </c>
      <c r="J1099" s="1275"/>
      <c r="K1099" s="1563"/>
      <c r="L1099" s="1278"/>
      <c r="M1099" s="1284"/>
      <c r="N1099" s="688"/>
      <c r="O1099" s="689"/>
      <c r="P1099" s="690"/>
      <c r="Q1099" s="1341"/>
      <c r="R1099" s="1342"/>
      <c r="S1099" s="193"/>
      <c r="T1099" s="193"/>
    </row>
    <row r="1100" spans="2:20" ht="19.5" customHeight="1">
      <c r="B1100" s="1259"/>
      <c r="C1100" s="1350"/>
      <c r="D1100" s="678" t="s">
        <v>167</v>
      </c>
      <c r="E1100" s="695"/>
      <c r="F1100" s="681"/>
      <c r="G1100" s="1254" t="str">
        <f>IF(G1099&gt;G1098,"OVER","INSIDE")</f>
        <v>INSIDE</v>
      </c>
      <c r="H1100" s="1255"/>
      <c r="I1100" s="1256"/>
      <c r="J1100" s="1275"/>
      <c r="K1100" s="1563"/>
      <c r="L1100" s="1278"/>
      <c r="M1100" s="1284"/>
      <c r="N1100" s="688"/>
      <c r="O1100" s="689"/>
      <c r="P1100" s="690"/>
      <c r="Q1100" s="1341"/>
      <c r="R1100" s="1342"/>
      <c r="S1100" s="193"/>
      <c r="T1100" s="193"/>
    </row>
    <row r="1101" spans="2:20" ht="19.5" customHeight="1" thickBot="1">
      <c r="B1101" s="1280"/>
      <c r="C1101" s="1351"/>
      <c r="D1101" s="678" t="s">
        <v>170</v>
      </c>
      <c r="E1101" s="883"/>
      <c r="F1101" s="753"/>
      <c r="G1101" s="1226">
        <f>IF(G1100="OVER",0,G1099)</f>
        <v>0</v>
      </c>
      <c r="H1101" s="1227"/>
      <c r="I1101" s="681" t="s">
        <v>452</v>
      </c>
      <c r="J1101" s="1276"/>
      <c r="K1101" s="1573"/>
      <c r="L1101" s="1279"/>
      <c r="M1101" s="1285"/>
      <c r="N1101" s="688"/>
      <c r="O1101" s="689"/>
      <c r="P1101" s="690"/>
      <c r="Q1101" s="1343"/>
      <c r="R1101" s="1344"/>
      <c r="S1101" s="193"/>
      <c r="T1101" s="193"/>
    </row>
    <row r="1102" spans="2:20" ht="19.5" customHeight="1">
      <c r="B1102" s="1273" t="s">
        <v>296</v>
      </c>
      <c r="C1102" s="1333" t="s">
        <v>418</v>
      </c>
      <c r="D1102" s="939" t="s">
        <v>437</v>
      </c>
      <c r="E1102" s="940"/>
      <c r="F1102" s="941"/>
      <c r="G1102" s="1574">
        <f>IF(G823-G826-O825&lt;0,0,G823-G826-O825)</f>
        <v>1290</v>
      </c>
      <c r="H1102" s="1575"/>
      <c r="I1102" s="941" t="s">
        <v>452</v>
      </c>
      <c r="J1102" s="1274" t="s">
        <v>352</v>
      </c>
      <c r="K1102" s="1562">
        <f ca="1">CELL("row",'記入シート'!C553)</f>
        <v>553</v>
      </c>
      <c r="L1102" s="1552">
        <f>$L$25</f>
        <v>10</v>
      </c>
      <c r="M1102" s="1517">
        <f>M1079</f>
        <v>129</v>
      </c>
      <c r="N1102" s="1572" t="s">
        <v>444</v>
      </c>
      <c r="O1102" s="1521">
        <f>G1337-G1106+G1355</f>
        <v>1</v>
      </c>
      <c r="P1102" s="1522" t="s">
        <v>453</v>
      </c>
      <c r="Q1102" s="1320" t="str">
        <f>IF(G1340="OVER","＃５は超過で表示不可",IF(G1103=0,REPT("　",(G1337+G1355)*L1102),IF(G1111="OVER",CONCATENATE(REPT("　",G1351*L1102),"＃５は文字数過多です"),CONCATENATE(REPT("　",G1351*L1102),'記入シート'!C553,REPT("　",O1104)))))</f>
        <v>　　　　　　　　　　</v>
      </c>
      <c r="R1102" s="1321"/>
      <c r="S1102" s="193"/>
      <c r="T1102" s="193"/>
    </row>
    <row r="1103" spans="2:20" ht="19.5" customHeight="1">
      <c r="B1103" s="1259"/>
      <c r="C1103" s="1334"/>
      <c r="D1103" s="942" t="s">
        <v>438</v>
      </c>
      <c r="E1103" s="943"/>
      <c r="F1103" s="936"/>
      <c r="G1103" s="1289">
        <f>LEN('記入シート'!C553)</f>
        <v>0</v>
      </c>
      <c r="H1103" s="1290"/>
      <c r="I1103" s="938" t="s">
        <v>452</v>
      </c>
      <c r="J1103" s="1275"/>
      <c r="K1103" s="1563"/>
      <c r="L1103" s="1278"/>
      <c r="M1103" s="1284"/>
      <c r="N1103" s="1576"/>
      <c r="O1103" s="1295"/>
      <c r="P1103" s="1288"/>
      <c r="Q1103" s="1322"/>
      <c r="R1103" s="1323"/>
      <c r="S1103" s="193"/>
      <c r="T1103" s="193"/>
    </row>
    <row r="1104" spans="2:20" ht="19.5" customHeight="1">
      <c r="B1104" s="1259"/>
      <c r="C1104" s="1334"/>
      <c r="D1104" s="937" t="s">
        <v>167</v>
      </c>
      <c r="E1104" s="943"/>
      <c r="F1104" s="936"/>
      <c r="G1104" s="1291" t="str">
        <f>IF(G1103&gt;G1102,"OVER","INSIDE")</f>
        <v>INSIDE</v>
      </c>
      <c r="H1104" s="1292"/>
      <c r="I1104" s="1293"/>
      <c r="J1104" s="1275"/>
      <c r="K1104" s="1563"/>
      <c r="L1104" s="1278"/>
      <c r="M1104" s="1284"/>
      <c r="N1104" s="682" t="s">
        <v>445</v>
      </c>
      <c r="O1104" s="683">
        <f>ABS(G1107)+O1102*L1102</f>
        <v>10</v>
      </c>
      <c r="P1104" s="684" t="s">
        <v>452</v>
      </c>
      <c r="Q1104" s="1322"/>
      <c r="R1104" s="1323"/>
      <c r="S1104" s="193"/>
      <c r="T1104" s="193"/>
    </row>
    <row r="1105" spans="2:20" ht="19.5" customHeight="1">
      <c r="B1105" s="1259"/>
      <c r="C1105" s="1334"/>
      <c r="D1105" s="937" t="s">
        <v>170</v>
      </c>
      <c r="E1105" s="943"/>
      <c r="F1105" s="936"/>
      <c r="G1105" s="1289">
        <f>IF(G1104="OVER",0,G1103)</f>
        <v>0</v>
      </c>
      <c r="H1105" s="1290"/>
      <c r="I1105" s="938" t="s">
        <v>452</v>
      </c>
      <c r="J1105" s="1275"/>
      <c r="K1105" s="1563"/>
      <c r="L1105" s="1278"/>
      <c r="M1105" s="1284"/>
      <c r="N1105" s="685"/>
      <c r="O1105" s="686"/>
      <c r="P1105" s="687"/>
      <c r="Q1105" s="1322"/>
      <c r="R1105" s="1323"/>
      <c r="S1105" s="193"/>
      <c r="T1105" s="193"/>
    </row>
    <row r="1106" spans="2:20" ht="19.5" customHeight="1">
      <c r="B1106" s="1259"/>
      <c r="C1106" s="1334"/>
      <c r="D1106" s="694" t="s">
        <v>451</v>
      </c>
      <c r="E1106" s="695"/>
      <c r="F1106" s="677"/>
      <c r="G1106" s="1226">
        <f>ROUNDUP(G1105/L1102,0)</f>
        <v>0</v>
      </c>
      <c r="H1106" s="1227"/>
      <c r="I1106" s="681" t="s">
        <v>453</v>
      </c>
      <c r="J1106" s="1275"/>
      <c r="K1106" s="1563"/>
      <c r="L1106" s="1278"/>
      <c r="M1106" s="1284"/>
      <c r="N1106" s="688"/>
      <c r="O1106" s="689"/>
      <c r="P1106" s="690"/>
      <c r="Q1106" s="1322"/>
      <c r="R1106" s="1323"/>
      <c r="S1106" s="193"/>
      <c r="T1106" s="193"/>
    </row>
    <row r="1107" spans="2:20" ht="19.5" customHeight="1">
      <c r="B1107" s="1259"/>
      <c r="C1107" s="1334"/>
      <c r="D1107" s="694" t="s">
        <v>439</v>
      </c>
      <c r="E1107" s="695"/>
      <c r="F1107" s="681"/>
      <c r="G1107" s="1226">
        <f>G1105-G1106*L1102</f>
        <v>0</v>
      </c>
      <c r="H1107" s="1227"/>
      <c r="I1107" s="681" t="s">
        <v>452</v>
      </c>
      <c r="J1107" s="1275"/>
      <c r="K1107" s="1563"/>
      <c r="L1107" s="1278"/>
      <c r="M1107" s="1284"/>
      <c r="N1107" s="688"/>
      <c r="O1107" s="689"/>
      <c r="P1107" s="690"/>
      <c r="Q1107" s="1322"/>
      <c r="R1107" s="1323"/>
      <c r="S1107" s="193"/>
      <c r="T1107" s="193"/>
    </row>
    <row r="1108" spans="2:20" ht="19.5" customHeight="1" thickBot="1">
      <c r="B1108" s="1259"/>
      <c r="C1108" s="1334"/>
      <c r="D1108" s="700" t="s">
        <v>440</v>
      </c>
      <c r="E1108" s="701"/>
      <c r="F1108" s="696"/>
      <c r="G1108" s="1224">
        <f>G1106*$L$25</f>
        <v>0</v>
      </c>
      <c r="H1108" s="1225"/>
      <c r="I1108" s="696" t="s">
        <v>452</v>
      </c>
      <c r="J1108" s="1275"/>
      <c r="K1108" s="1563"/>
      <c r="L1108" s="1278"/>
      <c r="M1108" s="1284"/>
      <c r="N1108" s="688"/>
      <c r="O1108" s="689"/>
      <c r="P1108" s="690"/>
      <c r="Q1108" s="1322"/>
      <c r="R1108" s="1323"/>
      <c r="S1108" s="193"/>
      <c r="T1108" s="193"/>
    </row>
    <row r="1109" spans="2:20" ht="19.5" customHeight="1">
      <c r="B1109" s="1259"/>
      <c r="C1109" s="1333" t="s">
        <v>332</v>
      </c>
      <c r="D1109" s="691" t="s">
        <v>437</v>
      </c>
      <c r="E1109" s="692"/>
      <c r="F1109" s="693"/>
      <c r="G1109" s="1246">
        <f>J1078*L1102</f>
        <v>1290</v>
      </c>
      <c r="H1109" s="1247"/>
      <c r="I1109" s="795" t="s">
        <v>452</v>
      </c>
      <c r="J1109" s="1275"/>
      <c r="K1109" s="1563"/>
      <c r="L1109" s="1278"/>
      <c r="M1109" s="1284"/>
      <c r="N1109" s="688"/>
      <c r="O1109" s="689"/>
      <c r="P1109" s="690"/>
      <c r="Q1109" s="1322"/>
      <c r="R1109" s="1323"/>
      <c r="S1109" s="193"/>
      <c r="T1109" s="193"/>
    </row>
    <row r="1110" spans="2:20" ht="19.5" customHeight="1">
      <c r="B1110" s="1259"/>
      <c r="C1110" s="1334"/>
      <c r="D1110" s="694" t="s">
        <v>438</v>
      </c>
      <c r="E1110" s="695"/>
      <c r="F1110" s="681"/>
      <c r="G1110" s="1226">
        <f>LEN('記入シート'!C553)</f>
        <v>0</v>
      </c>
      <c r="H1110" s="1227"/>
      <c r="I1110" s="681" t="s">
        <v>452</v>
      </c>
      <c r="J1110" s="1275"/>
      <c r="K1110" s="1563"/>
      <c r="L1110" s="1278"/>
      <c r="M1110" s="1284"/>
      <c r="N1110" s="688"/>
      <c r="O1110" s="689"/>
      <c r="P1110" s="690"/>
      <c r="Q1110" s="1322"/>
      <c r="R1110" s="1323"/>
      <c r="S1110" s="193"/>
      <c r="T1110" s="193"/>
    </row>
    <row r="1111" spans="2:20" ht="19.5" customHeight="1">
      <c r="B1111" s="1259"/>
      <c r="C1111" s="1334"/>
      <c r="D1111" s="678" t="s">
        <v>167</v>
      </c>
      <c r="E1111" s="695"/>
      <c r="F1111" s="681"/>
      <c r="G1111" s="1254" t="str">
        <f>IF(G1110&gt;G1109,"OVER","INSIDE")</f>
        <v>INSIDE</v>
      </c>
      <c r="H1111" s="1255"/>
      <c r="I1111" s="1256"/>
      <c r="J1111" s="1275"/>
      <c r="K1111" s="1563"/>
      <c r="L1111" s="1278"/>
      <c r="M1111" s="1284"/>
      <c r="N1111" s="688"/>
      <c r="O1111" s="689"/>
      <c r="P1111" s="690"/>
      <c r="Q1111" s="1322"/>
      <c r="R1111" s="1323"/>
      <c r="S1111" s="193"/>
      <c r="T1111" s="193"/>
    </row>
    <row r="1112" spans="2:20" ht="19.5" customHeight="1" thickBot="1">
      <c r="B1112" s="1280"/>
      <c r="C1112" s="1335"/>
      <c r="D1112" s="678" t="s">
        <v>170</v>
      </c>
      <c r="E1112" s="883"/>
      <c r="F1112" s="753"/>
      <c r="G1112" s="1226">
        <f>IF(G1111="OVER",0,G1110)</f>
        <v>0</v>
      </c>
      <c r="H1112" s="1227"/>
      <c r="I1112" s="681" t="s">
        <v>452</v>
      </c>
      <c r="J1112" s="1276"/>
      <c r="K1112" s="1573"/>
      <c r="L1112" s="1279"/>
      <c r="M1112" s="1285"/>
      <c r="N1112" s="688"/>
      <c r="O1112" s="689"/>
      <c r="P1112" s="690"/>
      <c r="Q1112" s="1324"/>
      <c r="R1112" s="1325"/>
      <c r="S1112" s="193"/>
      <c r="T1112" s="193"/>
    </row>
    <row r="1113" spans="2:20" ht="19.5" customHeight="1" thickTop="1">
      <c r="B1113" s="1273" t="s">
        <v>297</v>
      </c>
      <c r="C1113" s="1273" t="s">
        <v>400</v>
      </c>
      <c r="D1113" s="1272" t="s">
        <v>472</v>
      </c>
      <c r="E1113" s="945" t="s">
        <v>437</v>
      </c>
      <c r="F1113" s="941"/>
      <c r="G1113" s="1574">
        <f>G1077*L1113</f>
        <v>2451</v>
      </c>
      <c r="H1113" s="1575"/>
      <c r="I1113" s="941" t="s">
        <v>452</v>
      </c>
      <c r="J1113" s="1274" t="s">
        <v>352</v>
      </c>
      <c r="K1113" s="1562">
        <f ca="1">CELL("row",'記入シート'!C559)</f>
        <v>559</v>
      </c>
      <c r="L1113" s="1552">
        <f>$L$32</f>
        <v>19</v>
      </c>
      <c r="M1113" s="1517">
        <f>M1079</f>
        <v>129</v>
      </c>
      <c r="N1113" s="1572" t="s">
        <v>481</v>
      </c>
      <c r="O1113" s="1521">
        <f>O1140-G1118</f>
        <v>0</v>
      </c>
      <c r="P1113" s="1522" t="s">
        <v>453</v>
      </c>
      <c r="Q1113" s="1263">
        <f>IF(G1117=0,REPT("　",O1113*L1113),CONCATENATE("①　",'記入シート'!C559,REPT("　",O1113*L1113+ABS(G1119))))</f>
      </c>
      <c r="R1113" s="1264"/>
      <c r="S1113" s="1264"/>
      <c r="T1113" s="1265"/>
    </row>
    <row r="1114" spans="2:20" ht="19.5" customHeight="1">
      <c r="B1114" s="1259"/>
      <c r="C1114" s="1259"/>
      <c r="D1114" s="1257"/>
      <c r="E1114" s="946" t="s">
        <v>138</v>
      </c>
      <c r="F1114" s="936"/>
      <c r="G1114" s="1289">
        <f>IF(G1113&gt;2,G1113-2,0)</f>
        <v>2449</v>
      </c>
      <c r="H1114" s="1290"/>
      <c r="I1114" s="936" t="s">
        <v>452</v>
      </c>
      <c r="J1114" s="1275"/>
      <c r="K1114" s="1563"/>
      <c r="L1114" s="1278"/>
      <c r="M1114" s="1284"/>
      <c r="N1114" s="1547"/>
      <c r="O1114" s="1546"/>
      <c r="P1114" s="1287"/>
      <c r="Q1114" s="1266"/>
      <c r="R1114" s="1267"/>
      <c r="S1114" s="1267"/>
      <c r="T1114" s="1268"/>
    </row>
    <row r="1115" spans="2:20" ht="19.5" customHeight="1">
      <c r="B1115" s="1259"/>
      <c r="C1115" s="1259"/>
      <c r="D1115" s="1257"/>
      <c r="E1115" s="946" t="s">
        <v>149</v>
      </c>
      <c r="F1115" s="936"/>
      <c r="G1115" s="1289">
        <f>LEN('記入シート'!C559)</f>
        <v>0</v>
      </c>
      <c r="H1115" s="1290"/>
      <c r="I1115" s="938" t="s">
        <v>452</v>
      </c>
      <c r="J1115" s="1275"/>
      <c r="K1115" s="1563"/>
      <c r="L1115" s="1278"/>
      <c r="M1115" s="1284"/>
      <c r="N1115" s="1547"/>
      <c r="O1115" s="1546"/>
      <c r="P1115" s="1287"/>
      <c r="Q1115" s="1266"/>
      <c r="R1115" s="1267"/>
      <c r="S1115" s="1267"/>
      <c r="T1115" s="1268"/>
    </row>
    <row r="1116" spans="2:20" ht="19.5" customHeight="1">
      <c r="B1116" s="1259"/>
      <c r="C1116" s="1259"/>
      <c r="D1116" s="1257"/>
      <c r="E1116" s="946" t="s">
        <v>167</v>
      </c>
      <c r="F1116" s="936"/>
      <c r="G1116" s="1291" t="str">
        <f>IF(G1115&gt;G1114,"OVER","INSIDE")</f>
        <v>INSIDE</v>
      </c>
      <c r="H1116" s="1292"/>
      <c r="I1116" s="1293"/>
      <c r="J1116" s="1275"/>
      <c r="K1116" s="1563"/>
      <c r="L1116" s="1278"/>
      <c r="M1116" s="1284"/>
      <c r="N1116" s="705"/>
      <c r="O1116" s="686"/>
      <c r="P1116" s="687"/>
      <c r="Q1116" s="1266"/>
      <c r="R1116" s="1267"/>
      <c r="S1116" s="1267"/>
      <c r="T1116" s="1268"/>
    </row>
    <row r="1117" spans="2:20" ht="19.5" customHeight="1">
      <c r="B1117" s="1259"/>
      <c r="C1117" s="1259"/>
      <c r="D1117" s="1257"/>
      <c r="E1117" s="703" t="s">
        <v>153</v>
      </c>
      <c r="F1117" s="677"/>
      <c r="G1117" s="1226">
        <f>IF(G1115=0,0,IF(G1116="OVER",0,G1115+2))</f>
        <v>0</v>
      </c>
      <c r="H1117" s="1227"/>
      <c r="I1117" s="681" t="s">
        <v>452</v>
      </c>
      <c r="J1117" s="1275"/>
      <c r="K1117" s="1563"/>
      <c r="L1117" s="1278"/>
      <c r="M1117" s="1284"/>
      <c r="N1117" s="706"/>
      <c r="O1117" s="689"/>
      <c r="P1117" s="690"/>
      <c r="Q1117" s="1266"/>
      <c r="R1117" s="1267"/>
      <c r="S1117" s="1267"/>
      <c r="T1117" s="1268"/>
    </row>
    <row r="1118" spans="2:20" ht="19.5" customHeight="1">
      <c r="B1118" s="1259"/>
      <c r="C1118" s="1259"/>
      <c r="D1118" s="1257"/>
      <c r="E1118" s="707" t="s">
        <v>451</v>
      </c>
      <c r="F1118" s="708"/>
      <c r="G1118" s="1226">
        <f>ROUNDUP(G1117/L1113,0)</f>
        <v>0</v>
      </c>
      <c r="H1118" s="1227"/>
      <c r="I1118" s="681" t="s">
        <v>453</v>
      </c>
      <c r="J1118" s="1275"/>
      <c r="K1118" s="1563"/>
      <c r="L1118" s="1278"/>
      <c r="M1118" s="1284"/>
      <c r="N1118" s="706"/>
      <c r="O1118" s="689"/>
      <c r="P1118" s="690"/>
      <c r="Q1118" s="1266"/>
      <c r="R1118" s="1267"/>
      <c r="S1118" s="1267"/>
      <c r="T1118" s="1268"/>
    </row>
    <row r="1119" spans="2:20" ht="19.5" customHeight="1">
      <c r="B1119" s="1259"/>
      <c r="C1119" s="1259"/>
      <c r="D1119" s="1257"/>
      <c r="E1119" s="707" t="s">
        <v>419</v>
      </c>
      <c r="F1119" s="708"/>
      <c r="G1119" s="1226">
        <f>G1117-G1118*L1113</f>
        <v>0</v>
      </c>
      <c r="H1119" s="1227"/>
      <c r="I1119" s="681" t="s">
        <v>452</v>
      </c>
      <c r="J1119" s="1275"/>
      <c r="K1119" s="1563"/>
      <c r="L1119" s="1278"/>
      <c r="M1119" s="1284"/>
      <c r="N1119" s="706"/>
      <c r="O1119" s="689"/>
      <c r="P1119" s="690"/>
      <c r="Q1119" s="1266"/>
      <c r="R1119" s="1267"/>
      <c r="S1119" s="1267"/>
      <c r="T1119" s="1268"/>
    </row>
    <row r="1120" spans="2:20" ht="19.5" customHeight="1" thickBot="1">
      <c r="B1120" s="1259"/>
      <c r="C1120" s="1280"/>
      <c r="D1120" s="1281"/>
      <c r="E1120" s="884" t="s">
        <v>423</v>
      </c>
      <c r="F1120" s="709"/>
      <c r="G1120" s="1224">
        <f>G1118*L1113</f>
        <v>0</v>
      </c>
      <c r="H1120" s="1225"/>
      <c r="I1120" s="696" t="s">
        <v>452</v>
      </c>
      <c r="J1120" s="1275"/>
      <c r="K1120" s="1563"/>
      <c r="L1120" s="1278"/>
      <c r="M1120" s="1284"/>
      <c r="N1120" s="706"/>
      <c r="O1120" s="689"/>
      <c r="P1120" s="690"/>
      <c r="Q1120" s="1266"/>
      <c r="R1120" s="1267"/>
      <c r="S1120" s="1267"/>
      <c r="T1120" s="1268"/>
    </row>
    <row r="1121" spans="2:20" ht="19.5" customHeight="1">
      <c r="B1121" s="1259" t="s">
        <v>297</v>
      </c>
      <c r="C1121" s="1273" t="s">
        <v>332</v>
      </c>
      <c r="D1121" s="1272" t="s">
        <v>212</v>
      </c>
      <c r="E1121" s="702" t="s">
        <v>437</v>
      </c>
      <c r="F1121" s="693"/>
      <c r="G1121" s="1204">
        <f>J1078*L1113</f>
        <v>2451</v>
      </c>
      <c r="H1121" s="1205"/>
      <c r="I1121" s="693" t="s">
        <v>452</v>
      </c>
      <c r="J1121" s="1275"/>
      <c r="K1121" s="1563"/>
      <c r="L1121" s="1278"/>
      <c r="M1121" s="1284"/>
      <c r="N1121" s="706"/>
      <c r="O1121" s="689"/>
      <c r="P1121" s="690"/>
      <c r="Q1121" s="1266"/>
      <c r="R1121" s="1267"/>
      <c r="S1121" s="1267"/>
      <c r="T1121" s="1268"/>
    </row>
    <row r="1122" spans="2:20" ht="19.5" customHeight="1">
      <c r="B1122" s="1259"/>
      <c r="C1122" s="1259"/>
      <c r="D1122" s="1257"/>
      <c r="E1122" s="771" t="s">
        <v>138</v>
      </c>
      <c r="F1122" s="681"/>
      <c r="G1122" s="1206">
        <f>IF(G1121&gt;2,G1121-2,0)</f>
        <v>2449</v>
      </c>
      <c r="H1122" s="1207"/>
      <c r="I1122" s="796" t="s">
        <v>452</v>
      </c>
      <c r="J1122" s="1275"/>
      <c r="K1122" s="1563"/>
      <c r="L1122" s="1278"/>
      <c r="M1122" s="1284"/>
      <c r="N1122" s="706"/>
      <c r="O1122" s="689"/>
      <c r="P1122" s="690"/>
      <c r="Q1122" s="1266"/>
      <c r="R1122" s="1267"/>
      <c r="S1122" s="1267"/>
      <c r="T1122" s="1268"/>
    </row>
    <row r="1123" spans="2:20" ht="19.5" customHeight="1">
      <c r="B1123" s="1259"/>
      <c r="C1123" s="1259"/>
      <c r="D1123" s="1257"/>
      <c r="E1123" s="703" t="s">
        <v>149</v>
      </c>
      <c r="F1123" s="677"/>
      <c r="G1123" s="1226">
        <f>LEN('記入シート'!C559)</f>
        <v>0</v>
      </c>
      <c r="H1123" s="1227"/>
      <c r="I1123" s="681" t="s">
        <v>452</v>
      </c>
      <c r="J1123" s="1275"/>
      <c r="K1123" s="1563"/>
      <c r="L1123" s="1278"/>
      <c r="M1123" s="1284"/>
      <c r="N1123" s="706"/>
      <c r="O1123" s="689"/>
      <c r="P1123" s="690"/>
      <c r="Q1123" s="1266"/>
      <c r="R1123" s="1267"/>
      <c r="S1123" s="1267"/>
      <c r="T1123" s="1268"/>
    </row>
    <row r="1124" spans="2:20" ht="19.5" customHeight="1" thickBot="1">
      <c r="B1124" s="1259"/>
      <c r="C1124" s="1280"/>
      <c r="D1124" s="1281"/>
      <c r="E1124" s="944" t="s">
        <v>167</v>
      </c>
      <c r="F1124" s="932"/>
      <c r="G1124" s="1236" t="str">
        <f>IF(G1123&gt;G1122,"OVER","INSIDE")</f>
        <v>INSIDE</v>
      </c>
      <c r="H1124" s="1237"/>
      <c r="I1124" s="1238"/>
      <c r="J1124" s="1276"/>
      <c r="K1124" s="1573"/>
      <c r="L1124" s="1279"/>
      <c r="M1124" s="1285"/>
      <c r="N1124" s="710"/>
      <c r="O1124" s="698"/>
      <c r="P1124" s="699"/>
      <c r="Q1124" s="1269"/>
      <c r="R1124" s="1270"/>
      <c r="S1124" s="1270"/>
      <c r="T1124" s="1271"/>
    </row>
    <row r="1125" spans="2:20" ht="19.5" customHeight="1">
      <c r="B1125" s="1259" t="s">
        <v>297</v>
      </c>
      <c r="C1125" s="1273" t="s">
        <v>400</v>
      </c>
      <c r="D1125" s="1272" t="s">
        <v>212</v>
      </c>
      <c r="E1125" s="712"/>
      <c r="F1125" s="885" t="s">
        <v>455</v>
      </c>
      <c r="G1125" s="1454">
        <f>LEN(LEFT('記入シート'!C563,L1125))</f>
        <v>0</v>
      </c>
      <c r="H1125" s="1455"/>
      <c r="I1125" s="755" t="s">
        <v>452</v>
      </c>
      <c r="J1125" s="1551" t="s">
        <v>352</v>
      </c>
      <c r="K1125" s="1460">
        <f ca="1">CELL("row",'記入シート'!C563)</f>
        <v>563</v>
      </c>
      <c r="L1125" s="1278">
        <f>$L$40</f>
        <v>6</v>
      </c>
      <c r="M1125" s="1284">
        <f>M1079</f>
        <v>129</v>
      </c>
      <c r="N1125" s="1544" t="s">
        <v>474</v>
      </c>
      <c r="O1125" s="1546">
        <f>SUM(G1125:H1132)</f>
        <v>0</v>
      </c>
      <c r="P1125" s="1556" t="s">
        <v>452</v>
      </c>
      <c r="Q1125" s="1554">
        <f>IF(O1130=0,REPT("　",O1140*L1125),CONCATENATE(LEFT('記入シート'!C563,L1125),REPT("　",G1126),LEFT('記入シート'!C564,L1125),REPT("　",G1128),LEFT('記入シート'!C565,L1125),REPT("　",G1130),LEFT('記入シート'!C566,L1125),REPT("　",G1132),REPT("　",L1125*O1132)))</f>
      </c>
      <c r="R1125" s="313"/>
      <c r="S1125" s="313"/>
      <c r="T1125" s="313"/>
    </row>
    <row r="1126" spans="2:20" ht="19.5" customHeight="1">
      <c r="B1126" s="1259"/>
      <c r="C1126" s="1259"/>
      <c r="D1126" s="1257"/>
      <c r="E1126" s="712"/>
      <c r="F1126" s="711" t="s">
        <v>458</v>
      </c>
      <c r="G1126" s="1226">
        <f>IF(G1125=0,0,$L$40-G1125)</f>
        <v>0</v>
      </c>
      <c r="H1126" s="1227"/>
      <c r="I1126" s="696" t="s">
        <v>452</v>
      </c>
      <c r="J1126" s="1297"/>
      <c r="K1126" s="1253"/>
      <c r="L1126" s="1278"/>
      <c r="M1126" s="1284"/>
      <c r="N1126" s="1544"/>
      <c r="O1126" s="1546"/>
      <c r="P1126" s="1556"/>
      <c r="Q1126" s="1554"/>
      <c r="R1126" s="313"/>
      <c r="S1126" s="313"/>
      <c r="T1126" s="313"/>
    </row>
    <row r="1127" spans="2:20" ht="19.5" customHeight="1">
      <c r="B1127" s="1259"/>
      <c r="C1127" s="1259"/>
      <c r="D1127" s="1257"/>
      <c r="E1127" s="712"/>
      <c r="F1127" s="711" t="s">
        <v>456</v>
      </c>
      <c r="G1127" s="1226">
        <f>LEN(LEFT('記入シート'!C564,L1125))</f>
        <v>0</v>
      </c>
      <c r="H1127" s="1227"/>
      <c r="I1127" s="696" t="s">
        <v>452</v>
      </c>
      <c r="J1127" s="1297" t="s">
        <v>352</v>
      </c>
      <c r="K1127" s="1253">
        <f ca="1">CELL("row",'記入シート'!C564)</f>
        <v>564</v>
      </c>
      <c r="L1127" s="1278"/>
      <c r="M1127" s="1284"/>
      <c r="N1127" s="1544"/>
      <c r="O1127" s="1546"/>
      <c r="P1127" s="1556"/>
      <c r="Q1127" s="1554"/>
      <c r="R1127" s="313"/>
      <c r="S1127" s="313"/>
      <c r="T1127" s="313"/>
    </row>
    <row r="1128" spans="2:20" ht="19.5" customHeight="1">
      <c r="B1128" s="1259"/>
      <c r="C1128" s="1259"/>
      <c r="D1128" s="1257"/>
      <c r="E1128" s="713" t="s">
        <v>401</v>
      </c>
      <c r="F1128" s="711" t="s">
        <v>459</v>
      </c>
      <c r="G1128" s="1226">
        <f>IF(G1127=0,0,$L$40-G1127)</f>
        <v>0</v>
      </c>
      <c r="H1128" s="1227"/>
      <c r="I1128" s="696" t="s">
        <v>452</v>
      </c>
      <c r="J1128" s="1297"/>
      <c r="K1128" s="1253"/>
      <c r="L1128" s="1278"/>
      <c r="M1128" s="1284"/>
      <c r="N1128" s="1544"/>
      <c r="O1128" s="1546"/>
      <c r="P1128" s="1556"/>
      <c r="Q1128" s="1549"/>
      <c r="R1128" s="313"/>
      <c r="S1128" s="313"/>
      <c r="T1128" s="313"/>
    </row>
    <row r="1129" spans="2:20" ht="19.5" customHeight="1">
      <c r="B1129" s="1259"/>
      <c r="C1129" s="1259"/>
      <c r="D1129" s="1257"/>
      <c r="E1129" s="713" t="s">
        <v>305</v>
      </c>
      <c r="F1129" s="714" t="s">
        <v>475</v>
      </c>
      <c r="G1129" s="1226">
        <f>LEN(LEFT('記入シート'!C565,L1125))</f>
        <v>0</v>
      </c>
      <c r="H1129" s="1227"/>
      <c r="I1129" s="696" t="s">
        <v>452</v>
      </c>
      <c r="J1129" s="1550" t="s">
        <v>352</v>
      </c>
      <c r="K1129" s="1253">
        <f ca="1">CELL("row",'記入シート'!C565)</f>
        <v>565</v>
      </c>
      <c r="L1129" s="1278"/>
      <c r="M1129" s="1284"/>
      <c r="N1129" s="1545"/>
      <c r="O1129" s="1295"/>
      <c r="P1129" s="1557"/>
      <c r="Q1129" s="320"/>
      <c r="R1129" s="313"/>
      <c r="S1129" s="313"/>
      <c r="T1129" s="313"/>
    </row>
    <row r="1130" spans="2:20" ht="19.5" customHeight="1">
      <c r="B1130" s="1259"/>
      <c r="C1130" s="1259"/>
      <c r="D1130" s="1257"/>
      <c r="E1130" s="712"/>
      <c r="F1130" s="714" t="s">
        <v>476</v>
      </c>
      <c r="G1130" s="1226">
        <f>IF(G1129=0,0,$L$40-G1129)</f>
        <v>0</v>
      </c>
      <c r="H1130" s="1227"/>
      <c r="I1130" s="696" t="s">
        <v>452</v>
      </c>
      <c r="J1130" s="1551"/>
      <c r="K1130" s="1253"/>
      <c r="L1130" s="1278"/>
      <c r="M1130" s="1284"/>
      <c r="N1130" s="1523" t="s">
        <v>480</v>
      </c>
      <c r="O1130" s="1294">
        <f>O1125/$L$40</f>
        <v>0</v>
      </c>
      <c r="P1130" s="1296" t="s">
        <v>453</v>
      </c>
      <c r="Q1130" s="320"/>
      <c r="R1130" s="313"/>
      <c r="S1130" s="313"/>
      <c r="T1130" s="313"/>
    </row>
    <row r="1131" spans="2:20" ht="19.5" customHeight="1">
      <c r="B1131" s="1259"/>
      <c r="C1131" s="1259"/>
      <c r="D1131" s="1257"/>
      <c r="E1131" s="712"/>
      <c r="F1131" s="714" t="s">
        <v>477</v>
      </c>
      <c r="G1131" s="1226">
        <f>LEN(LEFT('記入シート'!C566,L1125))</f>
        <v>0</v>
      </c>
      <c r="H1131" s="1227"/>
      <c r="I1131" s="696" t="s">
        <v>452</v>
      </c>
      <c r="J1131" s="1550" t="s">
        <v>352</v>
      </c>
      <c r="K1131" s="1253">
        <f ca="1">CELL("row",'記入シート'!C566)</f>
        <v>566</v>
      </c>
      <c r="L1131" s="1278"/>
      <c r="M1131" s="1284"/>
      <c r="N1131" s="1529"/>
      <c r="O1131" s="1295"/>
      <c r="P1131" s="1288"/>
      <c r="Q1131" s="995"/>
      <c r="R1131" s="313"/>
      <c r="S1131" s="313"/>
      <c r="T1131" s="313"/>
    </row>
    <row r="1132" spans="2:20" ht="19.5" customHeight="1">
      <c r="B1132" s="1259"/>
      <c r="C1132" s="1259"/>
      <c r="D1132" s="1257"/>
      <c r="E1132" s="712"/>
      <c r="F1132" s="714" t="s">
        <v>478</v>
      </c>
      <c r="G1132" s="1226">
        <f>IF(G1131=0,0,$L$40-G1131)</f>
        <v>0</v>
      </c>
      <c r="H1132" s="1227"/>
      <c r="I1132" s="681" t="s">
        <v>452</v>
      </c>
      <c r="J1132" s="1551"/>
      <c r="K1132" s="1253"/>
      <c r="L1132" s="1553"/>
      <c r="M1132" s="1518"/>
      <c r="N1132" s="718" t="s">
        <v>482</v>
      </c>
      <c r="O1132" s="719">
        <f>O1140-O1130</f>
        <v>0</v>
      </c>
      <c r="P1132" s="704" t="s">
        <v>453</v>
      </c>
      <c r="Q1132" s="995"/>
      <c r="R1132" s="313"/>
      <c r="S1132" s="313"/>
      <c r="T1132" s="313"/>
    </row>
    <row r="1133" spans="2:20" ht="19.5" customHeight="1">
      <c r="B1133" s="1259"/>
      <c r="C1133" s="1259"/>
      <c r="D1133" s="1257"/>
      <c r="E1133" s="720"/>
      <c r="F1133" s="701"/>
      <c r="G1133" s="701"/>
      <c r="H1133" s="701"/>
      <c r="I1133" s="701"/>
      <c r="J1133" s="1015"/>
      <c r="K1133" s="733"/>
      <c r="L1133" s="721"/>
      <c r="M1133" s="722"/>
      <c r="N1133" s="1532" t="s">
        <v>124</v>
      </c>
      <c r="O1133" s="1534" t="str">
        <f>IF(O1130&gt;G1121/L1113,"OVER","INSIDE")</f>
        <v>INSIDE</v>
      </c>
      <c r="P1133" s="1535"/>
      <c r="Q1133" s="424"/>
      <c r="R1133" s="419"/>
      <c r="S1133" s="419"/>
      <c r="T1133" s="419"/>
    </row>
    <row r="1134" spans="2:20" ht="19.5" customHeight="1" thickBot="1">
      <c r="B1134" s="1259"/>
      <c r="C1134" s="1259"/>
      <c r="D1134" s="1257"/>
      <c r="E1134" s="723"/>
      <c r="F1134" s="724"/>
      <c r="G1134" s="724"/>
      <c r="H1134" s="724"/>
      <c r="I1134" s="724"/>
      <c r="J1134" s="1016"/>
      <c r="K1134" s="761"/>
      <c r="L1134" s="725"/>
      <c r="M1134" s="726"/>
      <c r="N1134" s="1533"/>
      <c r="O1134" s="1536"/>
      <c r="P1134" s="1537"/>
      <c r="Q1134" s="424"/>
      <c r="R1134" s="419"/>
      <c r="S1134" s="419"/>
      <c r="T1134" s="419"/>
    </row>
    <row r="1135" spans="2:20" ht="19.5" customHeight="1">
      <c r="B1135" s="1259" t="s">
        <v>297</v>
      </c>
      <c r="C1135" s="1259" t="s">
        <v>400</v>
      </c>
      <c r="D1135" s="1257" t="s">
        <v>212</v>
      </c>
      <c r="E1135" s="727"/>
      <c r="F1135" s="728" t="s">
        <v>455</v>
      </c>
      <c r="G1135" s="1204">
        <f>LEN(LEFT('記入シート'!C569,L1135))</f>
        <v>0</v>
      </c>
      <c r="H1135" s="1205"/>
      <c r="I1135" s="729" t="s">
        <v>452</v>
      </c>
      <c r="J1135" s="1538" t="s">
        <v>352</v>
      </c>
      <c r="K1135" s="1562">
        <f ca="1">CELL("row",'記入シート'!C569)</f>
        <v>569</v>
      </c>
      <c r="L1135" s="1552">
        <f>$L$49</f>
        <v>6</v>
      </c>
      <c r="M1135" s="1571">
        <f>M1079</f>
        <v>129</v>
      </c>
      <c r="N1135" s="1543" t="s">
        <v>484</v>
      </c>
      <c r="O1135" s="1521">
        <f>SUM(G1135:H1138)</f>
        <v>0</v>
      </c>
      <c r="P1135" s="1522" t="s">
        <v>452</v>
      </c>
      <c r="Q1135" s="1548">
        <f>IF(O1138=0,REPT("　",O1140*L1135),CONCATENATE(LEFT('記入シート'!C569,L1135),REPT("　",G1136),LEFT('記入シート'!C570,L1135),REPT("　",G1138),REPT("　",L1135*O1143)))</f>
      </c>
      <c r="R1135" s="419"/>
      <c r="S1135" s="419"/>
      <c r="T1135" s="419"/>
    </row>
    <row r="1136" spans="2:20" ht="19.5" customHeight="1">
      <c r="B1136" s="1259"/>
      <c r="C1136" s="1259"/>
      <c r="D1136" s="1257"/>
      <c r="E1136" s="713" t="s">
        <v>402</v>
      </c>
      <c r="F1136" s="709" t="s">
        <v>458</v>
      </c>
      <c r="G1136" s="1226">
        <f>IF(G1135=0,0,$L$49-G1135)</f>
        <v>0</v>
      </c>
      <c r="H1136" s="1227"/>
      <c r="I1136" s="696" t="s">
        <v>452</v>
      </c>
      <c r="J1136" s="1297"/>
      <c r="K1136" s="1563"/>
      <c r="L1136" s="1278"/>
      <c r="M1136" s="1568"/>
      <c r="N1136" s="1544"/>
      <c r="O1136" s="1546"/>
      <c r="P1136" s="1287"/>
      <c r="Q1136" s="1549"/>
      <c r="R1136" s="419"/>
      <c r="S1136" s="419"/>
      <c r="T1136" s="419"/>
    </row>
    <row r="1137" spans="2:20" ht="19.5" customHeight="1">
      <c r="B1137" s="1259"/>
      <c r="C1137" s="1259"/>
      <c r="D1137" s="1257"/>
      <c r="E1137" s="713" t="s">
        <v>305</v>
      </c>
      <c r="F1137" s="709" t="s">
        <v>456</v>
      </c>
      <c r="G1137" s="1226">
        <f>LEN(LEFT('記入シート'!C570,L1135))</f>
        <v>0</v>
      </c>
      <c r="H1137" s="1227"/>
      <c r="I1137" s="696" t="s">
        <v>452</v>
      </c>
      <c r="J1137" s="1550" t="s">
        <v>352</v>
      </c>
      <c r="K1137" s="1530">
        <f ca="1">CELL("row",'記入シート'!C570)</f>
        <v>570</v>
      </c>
      <c r="L1137" s="1278"/>
      <c r="M1137" s="1568"/>
      <c r="N1137" s="1545"/>
      <c r="O1137" s="1295"/>
      <c r="P1137" s="1288"/>
      <c r="Q1137" s="424"/>
      <c r="R1137" s="419"/>
      <c r="S1137" s="419"/>
      <c r="T1137" s="419"/>
    </row>
    <row r="1138" spans="2:20" ht="19.5" customHeight="1">
      <c r="B1138" s="1259"/>
      <c r="C1138" s="1259"/>
      <c r="D1138" s="1257"/>
      <c r="E1138" s="712"/>
      <c r="F1138" s="708" t="s">
        <v>459</v>
      </c>
      <c r="G1138" s="1226">
        <f>IF(G1137=0,0,$L$49-G1137)</f>
        <v>0</v>
      </c>
      <c r="H1138" s="1227"/>
      <c r="I1138" s="681" t="s">
        <v>452</v>
      </c>
      <c r="J1138" s="1551"/>
      <c r="K1138" s="1531"/>
      <c r="L1138" s="1553"/>
      <c r="M1138" s="1568"/>
      <c r="N1138" s="1523" t="s">
        <v>479</v>
      </c>
      <c r="O1138" s="1294">
        <f>O1135/$L$49</f>
        <v>0</v>
      </c>
      <c r="P1138" s="1296" t="s">
        <v>453</v>
      </c>
      <c r="Q1138" s="424"/>
      <c r="R1138" s="419"/>
      <c r="S1138" s="419"/>
      <c r="T1138" s="419"/>
    </row>
    <row r="1139" spans="2:20" ht="19.5" customHeight="1">
      <c r="B1139" s="1259"/>
      <c r="C1139" s="1259"/>
      <c r="D1139" s="1257"/>
      <c r="E1139" s="732"/>
      <c r="F1139" s="730"/>
      <c r="G1139" s="730"/>
      <c r="H1139" s="731"/>
      <c r="I1139" s="733"/>
      <c r="J1139" s="1015"/>
      <c r="K1139" s="733"/>
      <c r="L1139" s="734"/>
      <c r="M1139" s="735"/>
      <c r="N1139" s="1547"/>
      <c r="O1139" s="1546"/>
      <c r="P1139" s="1287"/>
      <c r="Q1139" s="424"/>
      <c r="R1139" s="419"/>
      <c r="S1139" s="419"/>
      <c r="T1139" s="419"/>
    </row>
    <row r="1140" spans="2:20" ht="19.5" customHeight="1">
      <c r="B1140" s="1259"/>
      <c r="C1140" s="1259"/>
      <c r="D1140" s="1257"/>
      <c r="E1140" s="732"/>
      <c r="F1140" s="736"/>
      <c r="G1140" s="736"/>
      <c r="H1140" s="737"/>
      <c r="I1140" s="738"/>
      <c r="J1140" s="1017"/>
      <c r="K1140" s="738"/>
      <c r="L1140" s="740"/>
      <c r="M1140" s="741"/>
      <c r="N1140" s="1523" t="s">
        <v>483</v>
      </c>
      <c r="O1140" s="1294">
        <f>MAX(G1118,O1130,O1138)</f>
        <v>0</v>
      </c>
      <c r="P1140" s="1296" t="s">
        <v>453</v>
      </c>
      <c r="Q1140" s="424"/>
      <c r="R1140" s="419"/>
      <c r="S1140" s="419"/>
      <c r="T1140" s="419"/>
    </row>
    <row r="1141" spans="2:20" ht="19.5" customHeight="1">
      <c r="B1141" s="1259"/>
      <c r="C1141" s="1259"/>
      <c r="D1141" s="1257"/>
      <c r="E1141" s="732"/>
      <c r="F1141" s="736"/>
      <c r="G1141" s="736"/>
      <c r="H1141" s="737"/>
      <c r="I1141" s="738"/>
      <c r="J1141" s="1017"/>
      <c r="K1141" s="738"/>
      <c r="L1141" s="740"/>
      <c r="M1141" s="741"/>
      <c r="N1141" s="1547"/>
      <c r="O1141" s="1546"/>
      <c r="P1141" s="1287"/>
      <c r="Q1141" s="424"/>
      <c r="R1141" s="419"/>
      <c r="S1141" s="419"/>
      <c r="T1141" s="419"/>
    </row>
    <row r="1142" spans="2:20" ht="19.5" customHeight="1">
      <c r="B1142" s="1259"/>
      <c r="C1142" s="1259"/>
      <c r="D1142" s="1257"/>
      <c r="E1142" s="732"/>
      <c r="F1142" s="736"/>
      <c r="G1142" s="736"/>
      <c r="H1142" s="737"/>
      <c r="I1142" s="738"/>
      <c r="J1142" s="1017"/>
      <c r="K1142" s="738"/>
      <c r="L1142" s="740"/>
      <c r="M1142" s="741"/>
      <c r="N1142" s="1529"/>
      <c r="O1142" s="1295"/>
      <c r="P1142" s="1288"/>
      <c r="Q1142" s="424"/>
      <c r="R1142" s="419"/>
      <c r="S1142" s="419"/>
      <c r="T1142" s="419"/>
    </row>
    <row r="1143" spans="2:20" ht="19.5" customHeight="1">
      <c r="B1143" s="1259"/>
      <c r="C1143" s="1259"/>
      <c r="D1143" s="1257"/>
      <c r="E1143" s="732"/>
      <c r="F1143" s="736"/>
      <c r="G1143" s="736"/>
      <c r="H1143" s="737"/>
      <c r="I1143" s="738"/>
      <c r="J1143" s="1017"/>
      <c r="K1143" s="738"/>
      <c r="L1143" s="740"/>
      <c r="M1143" s="741"/>
      <c r="N1143" s="716" t="s">
        <v>485</v>
      </c>
      <c r="O1143" s="689">
        <f>O1140-O1138</f>
        <v>0</v>
      </c>
      <c r="P1143" s="704" t="s">
        <v>453</v>
      </c>
      <c r="Q1143" s="424"/>
      <c r="R1143" s="419"/>
      <c r="S1143" s="419"/>
      <c r="T1143" s="419"/>
    </row>
    <row r="1144" spans="2:20" ht="19.5" customHeight="1">
      <c r="B1144" s="1259"/>
      <c r="C1144" s="1259"/>
      <c r="D1144" s="1257"/>
      <c r="E1144" s="732"/>
      <c r="F1144" s="736"/>
      <c r="G1144" s="736"/>
      <c r="H1144" s="737"/>
      <c r="I1144" s="738"/>
      <c r="J1144" s="1017"/>
      <c r="K1144" s="738"/>
      <c r="L1144" s="740"/>
      <c r="M1144" s="741"/>
      <c r="N1144" s="1532" t="s">
        <v>125</v>
      </c>
      <c r="O1144" s="1534" t="str">
        <f>IF(O1138&gt;G1121/L1113,"OVER","INSIDE")</f>
        <v>INSIDE</v>
      </c>
      <c r="P1144" s="1535"/>
      <c r="Q1144" s="424"/>
      <c r="R1144" s="419"/>
      <c r="S1144" s="419"/>
      <c r="T1144" s="419"/>
    </row>
    <row r="1145" spans="2:20" ht="19.5" customHeight="1" thickBot="1">
      <c r="B1145" s="1259"/>
      <c r="C1145" s="1259"/>
      <c r="D1145" s="1257"/>
      <c r="E1145" s="732"/>
      <c r="F1145" s="736"/>
      <c r="G1145" s="736"/>
      <c r="H1145" s="737"/>
      <c r="I1145" s="738"/>
      <c r="J1145" s="1017"/>
      <c r="K1145" s="738"/>
      <c r="L1145" s="740"/>
      <c r="M1145" s="741"/>
      <c r="N1145" s="1533"/>
      <c r="O1145" s="1536"/>
      <c r="P1145" s="1537"/>
      <c r="Q1145" s="424"/>
      <c r="R1145" s="419"/>
      <c r="S1145" s="419"/>
      <c r="T1145" s="419"/>
    </row>
    <row r="1146" spans="2:20" ht="19.5" customHeight="1">
      <c r="B1146" s="1259" t="s">
        <v>297</v>
      </c>
      <c r="C1146" s="1259" t="s">
        <v>400</v>
      </c>
      <c r="D1146" s="1257" t="s">
        <v>212</v>
      </c>
      <c r="E1146" s="727"/>
      <c r="F1146" s="742" t="s">
        <v>1</v>
      </c>
      <c r="G1146" s="1204">
        <f>LEN(LEFT('記入シート'!D573,2))</f>
        <v>0</v>
      </c>
      <c r="H1146" s="1205"/>
      <c r="I1146" s="729" t="s">
        <v>452</v>
      </c>
      <c r="J1146" s="1538" t="s">
        <v>353</v>
      </c>
      <c r="K1146" s="1542">
        <f ca="1">CELL("row",'記入シート'!D573)</f>
        <v>573</v>
      </c>
      <c r="L1146" s="1539">
        <v>2</v>
      </c>
      <c r="M1146" s="1571">
        <f>M1079</f>
        <v>129</v>
      </c>
      <c r="N1146" s="1541" t="s">
        <v>8</v>
      </c>
      <c r="O1146" s="1521">
        <f>IF(G1146=0,0,1)</f>
        <v>0</v>
      </c>
      <c r="P1146" s="1522" t="s">
        <v>453</v>
      </c>
      <c r="Q1146" s="503" t="s">
        <v>6</v>
      </c>
      <c r="R1146" s="419"/>
      <c r="S1146" s="419"/>
      <c r="T1146" s="419"/>
    </row>
    <row r="1147" spans="2:20" ht="19.5" customHeight="1">
      <c r="B1147" s="1259"/>
      <c r="C1147" s="1259"/>
      <c r="D1147" s="1257"/>
      <c r="E1147" s="712"/>
      <c r="F1147" s="709" t="s">
        <v>2</v>
      </c>
      <c r="G1147" s="1226">
        <f>$L$58-G1146</f>
        <v>2</v>
      </c>
      <c r="H1147" s="1227"/>
      <c r="I1147" s="696" t="s">
        <v>452</v>
      </c>
      <c r="J1147" s="1297"/>
      <c r="K1147" s="1531"/>
      <c r="L1147" s="1299"/>
      <c r="M1147" s="1569"/>
      <c r="N1147" s="1526"/>
      <c r="O1147" s="1295"/>
      <c r="P1147" s="1288"/>
      <c r="Q1147" s="986">
        <f>IF(G1124="OVER","",IF(G1117=0,"",IF(O1146=0,REPT("　",5*O1148),CONCATENATE(REPT("　",G1147),LEFT('記入シート'!D573,L1146),"／",REPT("　",G1149),LEFT('記入シート'!G573,L1148),REPT("　",5*O1148)))))</f>
      </c>
      <c r="R1147" s="419"/>
      <c r="S1147" s="419"/>
      <c r="T1147" s="419"/>
    </row>
    <row r="1148" spans="2:20" ht="19.5" customHeight="1">
      <c r="B1148" s="1259"/>
      <c r="C1148" s="1259"/>
      <c r="D1148" s="1257"/>
      <c r="E1148" s="712"/>
      <c r="F1148" s="709" t="s">
        <v>3</v>
      </c>
      <c r="G1148" s="1226">
        <f>LEN(LEFT('記入シート'!G573,2))</f>
        <v>0</v>
      </c>
      <c r="H1148" s="1227"/>
      <c r="I1148" s="696" t="s">
        <v>452</v>
      </c>
      <c r="J1148" s="1297" t="s">
        <v>354</v>
      </c>
      <c r="K1148" s="1530">
        <f ca="1">CELL("row",'記入シート'!G573)</f>
        <v>573</v>
      </c>
      <c r="L1148" s="1299">
        <v>2</v>
      </c>
      <c r="M1148" s="1568">
        <f>M1079</f>
        <v>129</v>
      </c>
      <c r="N1148" s="743" t="s">
        <v>9</v>
      </c>
      <c r="O1148" s="744">
        <f>IF(O1140=0,0,O1140-O1146)</f>
        <v>0</v>
      </c>
      <c r="P1148" s="715" t="s">
        <v>453</v>
      </c>
      <c r="Q1148" s="987"/>
      <c r="R1148" s="419"/>
      <c r="S1148" s="419"/>
      <c r="T1148" s="419"/>
    </row>
    <row r="1149" spans="2:20" ht="19.5" customHeight="1">
      <c r="B1149" s="1259"/>
      <c r="C1149" s="1259"/>
      <c r="D1149" s="1257"/>
      <c r="E1149" s="713" t="s">
        <v>403</v>
      </c>
      <c r="F1149" s="709" t="s">
        <v>461</v>
      </c>
      <c r="G1149" s="1226">
        <f>$L$60-G1148</f>
        <v>2</v>
      </c>
      <c r="H1149" s="1227"/>
      <c r="I1149" s="696" t="s">
        <v>452</v>
      </c>
      <c r="J1149" s="1297"/>
      <c r="K1149" s="1531"/>
      <c r="L1149" s="1299"/>
      <c r="M1149" s="1568"/>
      <c r="N1149" s="688"/>
      <c r="O1149" s="689"/>
      <c r="P1149" s="690"/>
      <c r="Q1149" s="988"/>
      <c r="R1149" s="419"/>
      <c r="S1149" s="419"/>
      <c r="T1149" s="419"/>
    </row>
    <row r="1150" spans="2:20" ht="19.5" customHeight="1">
      <c r="B1150" s="1259"/>
      <c r="C1150" s="1259"/>
      <c r="D1150" s="1257"/>
      <c r="E1150" s="713" t="s">
        <v>305</v>
      </c>
      <c r="F1150" s="709" t="s">
        <v>4</v>
      </c>
      <c r="G1150" s="1226">
        <f>LEN(LEFT('記入シート'!N573,2))</f>
        <v>0</v>
      </c>
      <c r="H1150" s="1227"/>
      <c r="I1150" s="696" t="s">
        <v>452</v>
      </c>
      <c r="J1150" s="1297" t="s">
        <v>355</v>
      </c>
      <c r="K1150" s="1530">
        <f ca="1">CELL("row",'記入シート'!N573)</f>
        <v>573</v>
      </c>
      <c r="L1150" s="1299">
        <v>2</v>
      </c>
      <c r="M1150" s="1568">
        <f>M1079</f>
        <v>129</v>
      </c>
      <c r="N1150" s="1525" t="s">
        <v>178</v>
      </c>
      <c r="O1150" s="1294">
        <f>IF(G1150=0,0,1)</f>
        <v>0</v>
      </c>
      <c r="P1150" s="1296" t="s">
        <v>453</v>
      </c>
      <c r="Q1150" s="503" t="s">
        <v>7</v>
      </c>
      <c r="R1150" s="419"/>
      <c r="S1150" s="419"/>
      <c r="T1150" s="419"/>
    </row>
    <row r="1151" spans="2:20" ht="19.5" customHeight="1">
      <c r="B1151" s="1259"/>
      <c r="C1151" s="1259"/>
      <c r="D1151" s="1257"/>
      <c r="E1151" s="713"/>
      <c r="F1151" s="709" t="s">
        <v>5</v>
      </c>
      <c r="G1151" s="1226">
        <f>$L$62-G1150</f>
        <v>2</v>
      </c>
      <c r="H1151" s="1227"/>
      <c r="I1151" s="696" t="s">
        <v>452</v>
      </c>
      <c r="J1151" s="1297"/>
      <c r="K1151" s="1531"/>
      <c r="L1151" s="1299"/>
      <c r="M1151" s="1568"/>
      <c r="N1151" s="1526"/>
      <c r="O1151" s="1295"/>
      <c r="P1151" s="1288"/>
      <c r="Q1151" s="986">
        <f>IF(G1124="OVER","",IF(G1117=0,"",IF(O1150=0,REPT("　",5*O1152),CONCATENATE(REPT("　",G1151),LEFT('記入シート'!N573,L1150),"／",REPT("　",G1153),LEFT('記入シート'!Q573,L1152),REPT("　",5*O1152)))))</f>
      </c>
      <c r="R1151" s="419"/>
      <c r="S1151" s="419"/>
      <c r="T1151" s="419"/>
    </row>
    <row r="1152" spans="2:20" ht="19.5" customHeight="1">
      <c r="B1152" s="1259"/>
      <c r="C1152" s="1259"/>
      <c r="D1152" s="1257"/>
      <c r="E1152" s="713"/>
      <c r="F1152" s="709" t="s">
        <v>462</v>
      </c>
      <c r="G1152" s="1226">
        <f>LEN(LEFT('記入シート'!Q573,2))</f>
        <v>0</v>
      </c>
      <c r="H1152" s="1227"/>
      <c r="I1152" s="696" t="s">
        <v>452</v>
      </c>
      <c r="J1152" s="1297" t="s">
        <v>356</v>
      </c>
      <c r="K1152" s="1530">
        <f ca="1">CELL("row",'記入シート'!Q573)</f>
        <v>573</v>
      </c>
      <c r="L1152" s="1299">
        <v>2</v>
      </c>
      <c r="M1152" s="1568">
        <f>M1079</f>
        <v>129</v>
      </c>
      <c r="N1152" s="743" t="s">
        <v>179</v>
      </c>
      <c r="O1152" s="744">
        <f>IF(O1140=0,0,O1140-O1150)</f>
        <v>0</v>
      </c>
      <c r="P1152" s="715" t="s">
        <v>453</v>
      </c>
      <c r="Q1152" s="987"/>
      <c r="R1152" s="419"/>
      <c r="S1152" s="419"/>
      <c r="T1152" s="419"/>
    </row>
    <row r="1153" spans="2:20" ht="19.5" customHeight="1" thickBot="1">
      <c r="B1153" s="1259"/>
      <c r="C1153" s="1259"/>
      <c r="D1153" s="1257"/>
      <c r="E1153" s="745"/>
      <c r="F1153" s="709" t="s">
        <v>463</v>
      </c>
      <c r="G1153" s="1231">
        <f>$L$64-G1152</f>
        <v>2</v>
      </c>
      <c r="H1153" s="1232"/>
      <c r="I1153" s="696" t="s">
        <v>452</v>
      </c>
      <c r="J1153" s="1298"/>
      <c r="K1153" s="1570"/>
      <c r="L1153" s="1300"/>
      <c r="M1153" s="1569"/>
      <c r="N1153" s="688"/>
      <c r="O1153" s="689"/>
      <c r="P1153" s="690"/>
      <c r="Q1153" s="989"/>
      <c r="R1153" s="419"/>
      <c r="S1153" s="419"/>
      <c r="T1153" s="419"/>
    </row>
    <row r="1154" spans="2:20" ht="19.5" customHeight="1">
      <c r="B1154" s="1259"/>
      <c r="C1154" s="1259"/>
      <c r="D1154" s="1257" t="s">
        <v>212</v>
      </c>
      <c r="E1154" s="746" t="s">
        <v>404</v>
      </c>
      <c r="F1154" s="728" t="s">
        <v>420</v>
      </c>
      <c r="G1154" s="1204">
        <f>LEN(LEFT('記入シート'!C576,L1154))</f>
        <v>0</v>
      </c>
      <c r="H1154" s="1205"/>
      <c r="I1154" s="729" t="s">
        <v>452</v>
      </c>
      <c r="J1154" s="1274" t="s">
        <v>352</v>
      </c>
      <c r="K1154" s="1562">
        <f ca="1">CELL("row",'記入シート'!C576)</f>
        <v>576</v>
      </c>
      <c r="L1154" s="1552">
        <v>1</v>
      </c>
      <c r="M1154" s="1517">
        <f>M1079</f>
        <v>129</v>
      </c>
      <c r="N1154" s="1541" t="s">
        <v>10</v>
      </c>
      <c r="O1154" s="1521">
        <f>IF(G1154=0,0,1)</f>
        <v>0</v>
      </c>
      <c r="P1154" s="1522" t="s">
        <v>453</v>
      </c>
      <c r="Q1154" s="639">
        <f>IF(G1124="OVER","",IF(G1115=0,"",CONCATENATE(LEFT('記入シート'!C576,1),REPT("　",O1156))))</f>
      </c>
      <c r="R1154" s="419"/>
      <c r="S1154" s="419"/>
      <c r="T1154" s="419"/>
    </row>
    <row r="1155" spans="2:20" ht="19.5" customHeight="1">
      <c r="B1155" s="1259"/>
      <c r="C1155" s="1259"/>
      <c r="D1155" s="1257"/>
      <c r="E1155" s="713" t="s">
        <v>305</v>
      </c>
      <c r="F1155" s="709" t="s">
        <v>460</v>
      </c>
      <c r="G1155" s="1226">
        <f>$L$66-G1154</f>
        <v>1</v>
      </c>
      <c r="H1155" s="1227"/>
      <c r="I1155" s="696" t="s">
        <v>452</v>
      </c>
      <c r="J1155" s="1275"/>
      <c r="K1155" s="1563"/>
      <c r="L1155" s="1278"/>
      <c r="M1155" s="1284"/>
      <c r="N1155" s="1526"/>
      <c r="O1155" s="1295"/>
      <c r="P1155" s="1288"/>
      <c r="Q1155" s="424"/>
      <c r="R1155" s="419"/>
      <c r="S1155" s="419"/>
      <c r="T1155" s="419"/>
    </row>
    <row r="1156" spans="2:20" ht="19.5" customHeight="1" thickBot="1">
      <c r="B1156" s="1260"/>
      <c r="C1156" s="1260"/>
      <c r="D1156" s="1258"/>
      <c r="E1156" s="747"/>
      <c r="F1156" s="748" t="s">
        <v>158</v>
      </c>
      <c r="G1156" s="749" t="s">
        <v>159</v>
      </c>
      <c r="H1156" s="798">
        <f>WIDECHAR('記入シート'!C576)</f>
      </c>
      <c r="I1156" s="750" t="s">
        <v>160</v>
      </c>
      <c r="J1156" s="1561"/>
      <c r="K1156" s="1567"/>
      <c r="L1156" s="1564"/>
      <c r="M1156" s="1565"/>
      <c r="N1156" s="751" t="s">
        <v>486</v>
      </c>
      <c r="O1156" s="752">
        <f>IF(O1140=0,0,O1140-O1154)</f>
        <v>0</v>
      </c>
      <c r="P1156" s="690" t="s">
        <v>453</v>
      </c>
      <c r="Q1156" s="424"/>
      <c r="R1156" s="419"/>
      <c r="S1156" s="419"/>
      <c r="T1156" s="419"/>
    </row>
    <row r="1157" spans="2:20" ht="19.5" customHeight="1" thickTop="1">
      <c r="B1157" s="1261" t="s">
        <v>298</v>
      </c>
      <c r="C1157" s="1261" t="s">
        <v>400</v>
      </c>
      <c r="D1157" s="1282" t="s">
        <v>487</v>
      </c>
      <c r="E1157" s="945" t="s">
        <v>437</v>
      </c>
      <c r="F1157" s="941"/>
      <c r="G1157" s="1559">
        <f>IF(G1113-G1120-O1113*L1113&lt;0,0,G1113-G1120-O1113*L1113)</f>
        <v>2451</v>
      </c>
      <c r="H1157" s="1560"/>
      <c r="I1157" s="941" t="s">
        <v>452</v>
      </c>
      <c r="J1157" s="1274" t="s">
        <v>352</v>
      </c>
      <c r="K1157" s="1562">
        <f ca="1">CELL("row",'記入シート'!C581)</f>
        <v>581</v>
      </c>
      <c r="L1157" s="1277">
        <f>$L$32</f>
        <v>19</v>
      </c>
      <c r="M1157" s="1283">
        <f>IF(G1165/L1157&lt;0,0,G1165/L1157)</f>
        <v>129</v>
      </c>
      <c r="N1157" s="1558" t="s">
        <v>481</v>
      </c>
      <c r="O1157" s="1555">
        <f>O1184-G1162</f>
        <v>0</v>
      </c>
      <c r="P1157" s="1286" t="s">
        <v>453</v>
      </c>
      <c r="Q1157" s="1263">
        <f>IF(G1161=0,REPT("　",O1157*L1157),CONCATENATE("②　",'記入シート'!C581,REPT("　",O1157*L1157+ABS(G1163))))</f>
      </c>
      <c r="R1157" s="1264"/>
      <c r="S1157" s="1264"/>
      <c r="T1157" s="1265"/>
    </row>
    <row r="1158" spans="2:20" ht="19.5" customHeight="1">
      <c r="B1158" s="1259"/>
      <c r="C1158" s="1259"/>
      <c r="D1158" s="1257"/>
      <c r="E1158" s="946" t="s">
        <v>135</v>
      </c>
      <c r="F1158" s="936"/>
      <c r="G1158" s="1289">
        <f>IF(G1157&gt;2,G1157-2,0)</f>
        <v>2449</v>
      </c>
      <c r="H1158" s="1290"/>
      <c r="I1158" s="936" t="s">
        <v>452</v>
      </c>
      <c r="J1158" s="1275"/>
      <c r="K1158" s="1563"/>
      <c r="L1158" s="1278"/>
      <c r="M1158" s="1284"/>
      <c r="N1158" s="1547"/>
      <c r="O1158" s="1546"/>
      <c r="P1158" s="1287"/>
      <c r="Q1158" s="1266"/>
      <c r="R1158" s="1267"/>
      <c r="S1158" s="1267"/>
      <c r="T1158" s="1268"/>
    </row>
    <row r="1159" spans="2:20" ht="19.5" customHeight="1">
      <c r="B1159" s="1259"/>
      <c r="C1159" s="1259"/>
      <c r="D1159" s="1257"/>
      <c r="E1159" s="946" t="s">
        <v>150</v>
      </c>
      <c r="F1159" s="936"/>
      <c r="G1159" s="1289">
        <f>LEN('記入シート'!C581)</f>
        <v>0</v>
      </c>
      <c r="H1159" s="1290"/>
      <c r="I1159" s="938" t="s">
        <v>452</v>
      </c>
      <c r="J1159" s="1275"/>
      <c r="K1159" s="1563"/>
      <c r="L1159" s="1278"/>
      <c r="M1159" s="1284"/>
      <c r="N1159" s="1529"/>
      <c r="O1159" s="1295"/>
      <c r="P1159" s="1288"/>
      <c r="Q1159" s="1266"/>
      <c r="R1159" s="1267"/>
      <c r="S1159" s="1267"/>
      <c r="T1159" s="1268"/>
    </row>
    <row r="1160" spans="2:20" ht="19.5" customHeight="1">
      <c r="B1160" s="1259"/>
      <c r="C1160" s="1259"/>
      <c r="D1160" s="1257"/>
      <c r="E1160" s="946" t="s">
        <v>167</v>
      </c>
      <c r="F1160" s="936"/>
      <c r="G1160" s="1291" t="str">
        <f>IF(G1159&gt;G1158,"OVER","INSIDE")</f>
        <v>INSIDE</v>
      </c>
      <c r="H1160" s="1292"/>
      <c r="I1160" s="1293"/>
      <c r="J1160" s="1275"/>
      <c r="K1160" s="1563"/>
      <c r="L1160" s="1278"/>
      <c r="M1160" s="1284"/>
      <c r="N1160" s="706"/>
      <c r="O1160" s="689"/>
      <c r="P1160" s="690"/>
      <c r="Q1160" s="1266"/>
      <c r="R1160" s="1267"/>
      <c r="S1160" s="1267"/>
      <c r="T1160" s="1268"/>
    </row>
    <row r="1161" spans="2:20" ht="19.5" customHeight="1">
      <c r="B1161" s="1259"/>
      <c r="C1161" s="1259"/>
      <c r="D1161" s="1257"/>
      <c r="E1161" s="703" t="s">
        <v>154</v>
      </c>
      <c r="F1161" s="677"/>
      <c r="G1161" s="1226">
        <f>IF(G1159=0,0,IF(G1160="OVER",0,G1159+2))</f>
        <v>0</v>
      </c>
      <c r="H1161" s="1227"/>
      <c r="I1161" s="681" t="s">
        <v>452</v>
      </c>
      <c r="J1161" s="1275"/>
      <c r="K1161" s="1563"/>
      <c r="L1161" s="1278"/>
      <c r="M1161" s="1284"/>
      <c r="N1161" s="706"/>
      <c r="O1161" s="689"/>
      <c r="P1161" s="690"/>
      <c r="Q1161" s="1266"/>
      <c r="R1161" s="1267"/>
      <c r="S1161" s="1267"/>
      <c r="T1161" s="1268"/>
    </row>
    <row r="1162" spans="2:20" ht="19.5" customHeight="1">
      <c r="B1162" s="1259"/>
      <c r="C1162" s="1259"/>
      <c r="D1162" s="1257"/>
      <c r="E1162" s="707" t="s">
        <v>451</v>
      </c>
      <c r="F1162" s="708"/>
      <c r="G1162" s="1226">
        <f>ROUNDUP(G1161/L1157,0)</f>
        <v>0</v>
      </c>
      <c r="H1162" s="1227"/>
      <c r="I1162" s="681" t="s">
        <v>453</v>
      </c>
      <c r="J1162" s="1275"/>
      <c r="K1162" s="1563"/>
      <c r="L1162" s="1278"/>
      <c r="M1162" s="1284"/>
      <c r="N1162" s="706"/>
      <c r="O1162" s="689"/>
      <c r="P1162" s="690"/>
      <c r="Q1162" s="1266"/>
      <c r="R1162" s="1267"/>
      <c r="S1162" s="1267"/>
      <c r="T1162" s="1268"/>
    </row>
    <row r="1163" spans="2:20" ht="19.5" customHeight="1">
      <c r="B1163" s="1259"/>
      <c r="C1163" s="1259"/>
      <c r="D1163" s="1257"/>
      <c r="E1163" s="707" t="s">
        <v>419</v>
      </c>
      <c r="F1163" s="708"/>
      <c r="G1163" s="1226">
        <f>G1161-G1162*L1157</f>
        <v>0</v>
      </c>
      <c r="H1163" s="1227"/>
      <c r="I1163" s="681" t="s">
        <v>452</v>
      </c>
      <c r="J1163" s="1275"/>
      <c r="K1163" s="1563"/>
      <c r="L1163" s="1278"/>
      <c r="M1163" s="1284"/>
      <c r="N1163" s="706"/>
      <c r="O1163" s="689"/>
      <c r="P1163" s="690"/>
      <c r="Q1163" s="1266"/>
      <c r="R1163" s="1267"/>
      <c r="S1163" s="1267"/>
      <c r="T1163" s="1268"/>
    </row>
    <row r="1164" spans="2:20" ht="19.5" customHeight="1" thickBot="1">
      <c r="B1164" s="1259"/>
      <c r="C1164" s="882"/>
      <c r="D1164" s="1281"/>
      <c r="E1164" s="884" t="s">
        <v>423</v>
      </c>
      <c r="F1164" s="709"/>
      <c r="G1164" s="1224">
        <f>G1162*L1157</f>
        <v>0</v>
      </c>
      <c r="H1164" s="1225"/>
      <c r="I1164" s="696" t="s">
        <v>452</v>
      </c>
      <c r="J1164" s="1275"/>
      <c r="K1164" s="1563"/>
      <c r="L1164" s="1278"/>
      <c r="M1164" s="1284"/>
      <c r="N1164" s="706"/>
      <c r="O1164" s="689"/>
      <c r="P1164" s="690"/>
      <c r="Q1164" s="1266"/>
      <c r="R1164" s="1267"/>
      <c r="S1164" s="1267"/>
      <c r="T1164" s="1268"/>
    </row>
    <row r="1165" spans="2:20" ht="19.5" customHeight="1">
      <c r="B1165" s="1259" t="s">
        <v>298</v>
      </c>
      <c r="C1165" s="1273" t="s">
        <v>332</v>
      </c>
      <c r="D1165" s="1272" t="s">
        <v>487</v>
      </c>
      <c r="E1165" s="702" t="s">
        <v>437</v>
      </c>
      <c r="F1165" s="693"/>
      <c r="G1165" s="1204">
        <f>IF(G1121-G1120-O1113*L1113&lt;0,0,G1121-G1120-O1113*L1113)</f>
        <v>2451</v>
      </c>
      <c r="H1165" s="1205"/>
      <c r="I1165" s="693" t="s">
        <v>452</v>
      </c>
      <c r="J1165" s="1275"/>
      <c r="K1165" s="1563"/>
      <c r="L1165" s="1278"/>
      <c r="M1165" s="1284"/>
      <c r="N1165" s="706"/>
      <c r="O1165" s="689"/>
      <c r="P1165" s="690"/>
      <c r="Q1165" s="1266"/>
      <c r="R1165" s="1267"/>
      <c r="S1165" s="1267"/>
      <c r="T1165" s="1268"/>
    </row>
    <row r="1166" spans="2:20" ht="19.5" customHeight="1">
      <c r="B1166" s="1259"/>
      <c r="C1166" s="1259"/>
      <c r="D1166" s="1257"/>
      <c r="E1166" s="771" t="s">
        <v>135</v>
      </c>
      <c r="F1166" s="681"/>
      <c r="G1166" s="1206">
        <f>IF(G1165&gt;2,G1165-2,0)</f>
        <v>2449</v>
      </c>
      <c r="H1166" s="1207"/>
      <c r="I1166" s="796" t="s">
        <v>452</v>
      </c>
      <c r="J1166" s="1275"/>
      <c r="K1166" s="1563"/>
      <c r="L1166" s="1278"/>
      <c r="M1166" s="1284"/>
      <c r="N1166" s="706"/>
      <c r="O1166" s="689"/>
      <c r="P1166" s="690"/>
      <c r="Q1166" s="1266"/>
      <c r="R1166" s="1267"/>
      <c r="S1166" s="1267"/>
      <c r="T1166" s="1268"/>
    </row>
    <row r="1167" spans="2:20" ht="19.5" customHeight="1">
      <c r="B1167" s="1259"/>
      <c r="C1167" s="1259"/>
      <c r="D1167" s="1257"/>
      <c r="E1167" s="771" t="s">
        <v>150</v>
      </c>
      <c r="F1167" s="681"/>
      <c r="G1167" s="1226">
        <f>LEN('記入シート'!C581)</f>
        <v>0</v>
      </c>
      <c r="H1167" s="1227"/>
      <c r="I1167" s="681" t="s">
        <v>452</v>
      </c>
      <c r="J1167" s="1275"/>
      <c r="K1167" s="1563"/>
      <c r="L1167" s="1278"/>
      <c r="M1167" s="1284"/>
      <c r="N1167" s="706"/>
      <c r="O1167" s="689"/>
      <c r="P1167" s="690"/>
      <c r="Q1167" s="1266"/>
      <c r="R1167" s="1267"/>
      <c r="S1167" s="1267"/>
      <c r="T1167" s="1268"/>
    </row>
    <row r="1168" spans="2:20" ht="19.5" customHeight="1" thickBot="1">
      <c r="B1168" s="1259"/>
      <c r="C1168" s="1280"/>
      <c r="D1168" s="1281"/>
      <c r="E1168" s="947" t="s">
        <v>167</v>
      </c>
      <c r="F1168" s="753"/>
      <c r="G1168" s="1236" t="str">
        <f>IF(G1167&gt;G1166,"OVER","INSIDE")</f>
        <v>INSIDE</v>
      </c>
      <c r="H1168" s="1237"/>
      <c r="I1168" s="1238"/>
      <c r="J1168" s="1276"/>
      <c r="K1168" s="1573"/>
      <c r="L1168" s="1279"/>
      <c r="M1168" s="1285"/>
      <c r="N1168" s="710"/>
      <c r="O1168" s="698"/>
      <c r="P1168" s="699"/>
      <c r="Q1168" s="1269"/>
      <c r="R1168" s="1270"/>
      <c r="S1168" s="1270"/>
      <c r="T1168" s="1271"/>
    </row>
    <row r="1169" spans="2:20" ht="19.5" customHeight="1">
      <c r="B1169" s="1259" t="s">
        <v>298</v>
      </c>
      <c r="C1169" s="1273" t="s">
        <v>400</v>
      </c>
      <c r="D1169" s="1272" t="s">
        <v>487</v>
      </c>
      <c r="E1169" s="712"/>
      <c r="F1169" s="754" t="s">
        <v>455</v>
      </c>
      <c r="G1169" s="1454">
        <f>LEN(LEFT('記入シート'!C585,L1169))</f>
        <v>0</v>
      </c>
      <c r="H1169" s="1455"/>
      <c r="I1169" s="755" t="s">
        <v>452</v>
      </c>
      <c r="J1169" s="1551" t="s">
        <v>352</v>
      </c>
      <c r="K1169" s="1460">
        <f ca="1">CELL("row",'記入シート'!C585)</f>
        <v>585</v>
      </c>
      <c r="L1169" s="1278">
        <f>$L$40</f>
        <v>6</v>
      </c>
      <c r="M1169" s="1566">
        <f>M1157</f>
        <v>129</v>
      </c>
      <c r="N1169" s="1544" t="s">
        <v>474</v>
      </c>
      <c r="O1169" s="1546">
        <f>SUM(G1169:H1176)</f>
        <v>0</v>
      </c>
      <c r="P1169" s="1556" t="s">
        <v>452</v>
      </c>
      <c r="Q1169" s="1554">
        <f>IF(O1174=0,REPT("　",O1184*L1169),CONCATENATE(LEFT('記入シート'!C585,L1169),REPT("　",G1170),LEFT('記入シート'!C586,L1169),REPT("　",G1172),LEFT('記入シート'!C587,L1169),REPT("　",G1174),LEFT('記入シート'!C588,L1169),REPT("　",G1176),REPT("　",L1169*O1176)))</f>
      </c>
      <c r="R1169" s="313"/>
      <c r="S1169" s="313"/>
      <c r="T1169" s="313"/>
    </row>
    <row r="1170" spans="2:20" ht="19.5" customHeight="1">
      <c r="B1170" s="1259"/>
      <c r="C1170" s="1259"/>
      <c r="D1170" s="1257"/>
      <c r="E1170" s="712"/>
      <c r="F1170" s="709" t="s">
        <v>458</v>
      </c>
      <c r="G1170" s="1226">
        <f>IF(G1169=0,0,$L$40-G1169)</f>
        <v>0</v>
      </c>
      <c r="H1170" s="1227"/>
      <c r="I1170" s="696" t="s">
        <v>452</v>
      </c>
      <c r="J1170" s="1297"/>
      <c r="K1170" s="1253"/>
      <c r="L1170" s="1278"/>
      <c r="M1170" s="1566"/>
      <c r="N1170" s="1544"/>
      <c r="O1170" s="1546"/>
      <c r="P1170" s="1556"/>
      <c r="Q1170" s="1554"/>
      <c r="R1170" s="313"/>
      <c r="S1170" s="313"/>
      <c r="T1170" s="313"/>
    </row>
    <row r="1171" spans="2:20" ht="19.5" customHeight="1">
      <c r="B1171" s="1259"/>
      <c r="C1171" s="1259"/>
      <c r="D1171" s="1257"/>
      <c r="E1171" s="712"/>
      <c r="F1171" s="709" t="s">
        <v>456</v>
      </c>
      <c r="G1171" s="1226">
        <f>LEN(LEFT('記入シート'!C586,L1169))</f>
        <v>0</v>
      </c>
      <c r="H1171" s="1227"/>
      <c r="I1171" s="696" t="s">
        <v>452</v>
      </c>
      <c r="J1171" s="1297" t="s">
        <v>352</v>
      </c>
      <c r="K1171" s="1253">
        <f ca="1">CELL("row",'記入シート'!C586)</f>
        <v>586</v>
      </c>
      <c r="L1171" s="1278"/>
      <c r="M1171" s="1566"/>
      <c r="N1171" s="1544"/>
      <c r="O1171" s="1546"/>
      <c r="P1171" s="1556"/>
      <c r="Q1171" s="1554"/>
      <c r="R1171" s="313"/>
      <c r="S1171" s="313"/>
      <c r="T1171" s="313"/>
    </row>
    <row r="1172" spans="2:20" ht="19.5" customHeight="1">
      <c r="B1172" s="1259"/>
      <c r="C1172" s="1259"/>
      <c r="D1172" s="1257"/>
      <c r="E1172" s="712" t="s">
        <v>401</v>
      </c>
      <c r="F1172" s="709" t="s">
        <v>459</v>
      </c>
      <c r="G1172" s="1226">
        <f>IF(G1171=0,0,$L$40-G1171)</f>
        <v>0</v>
      </c>
      <c r="H1172" s="1227"/>
      <c r="I1172" s="696" t="s">
        <v>452</v>
      </c>
      <c r="J1172" s="1297"/>
      <c r="K1172" s="1253"/>
      <c r="L1172" s="1278"/>
      <c r="M1172" s="1566"/>
      <c r="N1172" s="1544"/>
      <c r="O1172" s="1546"/>
      <c r="P1172" s="1556"/>
      <c r="Q1172" s="1549"/>
      <c r="R1172" s="313"/>
      <c r="S1172" s="313"/>
      <c r="T1172" s="313"/>
    </row>
    <row r="1173" spans="2:20" ht="19.5" customHeight="1">
      <c r="B1173" s="1259"/>
      <c r="C1173" s="1259"/>
      <c r="D1173" s="1257"/>
      <c r="E1173" s="712" t="s">
        <v>306</v>
      </c>
      <c r="F1173" s="708" t="s">
        <v>475</v>
      </c>
      <c r="G1173" s="1226">
        <f>LEN(LEFT('記入シート'!C587,L1169))</f>
        <v>0</v>
      </c>
      <c r="H1173" s="1227"/>
      <c r="I1173" s="696" t="s">
        <v>452</v>
      </c>
      <c r="J1173" s="1550" t="s">
        <v>352</v>
      </c>
      <c r="K1173" s="1253">
        <f ca="1">CELL("row",'記入シート'!C587)</f>
        <v>587</v>
      </c>
      <c r="L1173" s="1278"/>
      <c r="M1173" s="1566"/>
      <c r="N1173" s="1545"/>
      <c r="O1173" s="1295"/>
      <c r="P1173" s="1557"/>
      <c r="Q1173" s="320"/>
      <c r="R1173" s="313"/>
      <c r="S1173" s="313"/>
      <c r="T1173" s="313"/>
    </row>
    <row r="1174" spans="2:20" ht="19.5" customHeight="1">
      <c r="B1174" s="1259"/>
      <c r="C1174" s="1259"/>
      <c r="D1174" s="1257"/>
      <c r="E1174" s="712"/>
      <c r="F1174" s="708" t="s">
        <v>476</v>
      </c>
      <c r="G1174" s="1226">
        <f>IF(G1173=0,0,$L$40-G1173)</f>
        <v>0</v>
      </c>
      <c r="H1174" s="1227"/>
      <c r="I1174" s="696" t="s">
        <v>452</v>
      </c>
      <c r="J1174" s="1551"/>
      <c r="K1174" s="1253"/>
      <c r="L1174" s="1278"/>
      <c r="M1174" s="1566"/>
      <c r="N1174" s="1523" t="s">
        <v>480</v>
      </c>
      <c r="O1174" s="1294">
        <f>O1169/$L$40</f>
        <v>0</v>
      </c>
      <c r="P1174" s="1296" t="s">
        <v>453</v>
      </c>
      <c r="Q1174" s="320"/>
      <c r="R1174" s="313"/>
      <c r="S1174" s="313"/>
      <c r="T1174" s="313"/>
    </row>
    <row r="1175" spans="2:20" ht="19.5" customHeight="1">
      <c r="B1175" s="1259"/>
      <c r="C1175" s="1259"/>
      <c r="D1175" s="1257"/>
      <c r="E1175" s="712"/>
      <c r="F1175" s="708" t="s">
        <v>477</v>
      </c>
      <c r="G1175" s="1226">
        <f>LEN(LEFT('記入シート'!C588,L1169))</f>
        <v>0</v>
      </c>
      <c r="H1175" s="1227"/>
      <c r="I1175" s="696" t="s">
        <v>452</v>
      </c>
      <c r="J1175" s="1550" t="s">
        <v>352</v>
      </c>
      <c r="K1175" s="1253">
        <f ca="1">CELL("row",'記入シート'!C588)</f>
        <v>588</v>
      </c>
      <c r="L1175" s="1278"/>
      <c r="M1175" s="1566"/>
      <c r="N1175" s="1529"/>
      <c r="O1175" s="1295"/>
      <c r="P1175" s="1288"/>
      <c r="Q1175" s="995"/>
      <c r="R1175" s="313"/>
      <c r="S1175" s="313"/>
      <c r="T1175" s="313"/>
    </row>
    <row r="1176" spans="2:20" ht="19.5" customHeight="1">
      <c r="B1176" s="1259"/>
      <c r="C1176" s="1259"/>
      <c r="D1176" s="1257"/>
      <c r="E1176" s="712"/>
      <c r="F1176" s="709" t="s">
        <v>478</v>
      </c>
      <c r="G1176" s="1226">
        <f>IF(G1175=0,0,$L$40-G1175)</f>
        <v>0</v>
      </c>
      <c r="H1176" s="1227"/>
      <c r="I1176" s="696" t="s">
        <v>452</v>
      </c>
      <c r="J1176" s="1551"/>
      <c r="K1176" s="1253"/>
      <c r="L1176" s="1278"/>
      <c r="M1176" s="1566"/>
      <c r="N1176" s="756" t="s">
        <v>482</v>
      </c>
      <c r="O1176" s="757">
        <f>O1184-O1174</f>
        <v>0</v>
      </c>
      <c r="P1176" s="717" t="s">
        <v>453</v>
      </c>
      <c r="Q1176" s="995"/>
      <c r="R1176" s="313"/>
      <c r="S1176" s="313"/>
      <c r="T1176" s="313"/>
    </row>
    <row r="1177" spans="2:20" ht="19.5" customHeight="1">
      <c r="B1177" s="1259"/>
      <c r="C1177" s="1259"/>
      <c r="D1177" s="1257"/>
      <c r="E1177" s="732"/>
      <c r="F1177" s="730"/>
      <c r="G1177" s="730"/>
      <c r="H1177" s="731"/>
      <c r="I1177" s="733"/>
      <c r="J1177" s="1015"/>
      <c r="K1177" s="733"/>
      <c r="L1177" s="734"/>
      <c r="M1177" s="735"/>
      <c r="N1177" s="1532" t="s">
        <v>124</v>
      </c>
      <c r="O1177" s="1534" t="str">
        <f>IF(O1174&gt;G1165/L1157,"OVER","INSIDE")</f>
        <v>INSIDE</v>
      </c>
      <c r="P1177" s="1535"/>
      <c r="Q1177" s="424"/>
      <c r="R1177" s="419"/>
      <c r="S1177" s="419"/>
      <c r="T1177" s="419"/>
    </row>
    <row r="1178" spans="2:20" ht="19.5" customHeight="1" thickBot="1">
      <c r="B1178" s="1259"/>
      <c r="C1178" s="1259"/>
      <c r="D1178" s="1257"/>
      <c r="E1178" s="758"/>
      <c r="F1178" s="759"/>
      <c r="G1178" s="759"/>
      <c r="H1178" s="760"/>
      <c r="I1178" s="761"/>
      <c r="J1178" s="1016"/>
      <c r="K1178" s="761"/>
      <c r="L1178" s="762"/>
      <c r="M1178" s="763"/>
      <c r="N1178" s="1533"/>
      <c r="O1178" s="1536"/>
      <c r="P1178" s="1537"/>
      <c r="Q1178" s="424"/>
      <c r="R1178" s="419"/>
      <c r="S1178" s="419"/>
      <c r="T1178" s="419"/>
    </row>
    <row r="1179" spans="2:20" ht="19.5" customHeight="1">
      <c r="B1179" s="1259" t="s">
        <v>298</v>
      </c>
      <c r="C1179" s="1259" t="s">
        <v>400</v>
      </c>
      <c r="D1179" s="1257" t="s">
        <v>487</v>
      </c>
      <c r="E1179" s="727"/>
      <c r="F1179" s="728" t="s">
        <v>455</v>
      </c>
      <c r="G1179" s="1204">
        <f>LEN(LEFT('記入シート'!C591,L1179))</f>
        <v>0</v>
      </c>
      <c r="H1179" s="1205"/>
      <c r="I1179" s="729" t="s">
        <v>452</v>
      </c>
      <c r="J1179" s="1538" t="s">
        <v>352</v>
      </c>
      <c r="K1179" s="1562">
        <f ca="1">CELL("row",'記入シート'!C591)</f>
        <v>591</v>
      </c>
      <c r="L1179" s="1552">
        <f>$L$49</f>
        <v>6</v>
      </c>
      <c r="M1179" s="1540">
        <f>M1157</f>
        <v>129</v>
      </c>
      <c r="N1179" s="1543" t="s">
        <v>484</v>
      </c>
      <c r="O1179" s="1521">
        <f>SUM(G1179:H1182)</f>
        <v>0</v>
      </c>
      <c r="P1179" s="1522" t="s">
        <v>452</v>
      </c>
      <c r="Q1179" s="1548">
        <f>IF(O1182=0,REPT("　",O1184*L1179),CONCATENATE(LEFT('記入シート'!C591,L1179),REPT("　",G1180),LEFT('記入シート'!C592,L1179),REPT("　",G1182),REPT("　",L1179*O1187)))</f>
      </c>
      <c r="R1179" s="419"/>
      <c r="S1179" s="419"/>
      <c r="T1179" s="419"/>
    </row>
    <row r="1180" spans="2:20" ht="19.5" customHeight="1">
      <c r="B1180" s="1259"/>
      <c r="C1180" s="1259"/>
      <c r="D1180" s="1257"/>
      <c r="E1180" s="713" t="s">
        <v>402</v>
      </c>
      <c r="F1180" s="709" t="s">
        <v>458</v>
      </c>
      <c r="G1180" s="1226">
        <f>IF(G1179=0,0,$L$49-G1179)</f>
        <v>0</v>
      </c>
      <c r="H1180" s="1227"/>
      <c r="I1180" s="696" t="s">
        <v>452</v>
      </c>
      <c r="J1180" s="1297"/>
      <c r="K1180" s="1563"/>
      <c r="L1180" s="1278"/>
      <c r="M1180" s="1301"/>
      <c r="N1180" s="1544"/>
      <c r="O1180" s="1546"/>
      <c r="P1180" s="1287"/>
      <c r="Q1180" s="1549"/>
      <c r="R1180" s="419"/>
      <c r="S1180" s="419"/>
      <c r="T1180" s="419"/>
    </row>
    <row r="1181" spans="2:20" ht="19.5" customHeight="1">
      <c r="B1181" s="1259"/>
      <c r="C1181" s="1259"/>
      <c r="D1181" s="1257"/>
      <c r="E1181" s="713" t="s">
        <v>306</v>
      </c>
      <c r="F1181" s="709" t="s">
        <v>456</v>
      </c>
      <c r="G1181" s="1226">
        <f>LEN(LEFT('記入シート'!C592,L1179))</f>
        <v>0</v>
      </c>
      <c r="H1181" s="1227"/>
      <c r="I1181" s="696" t="s">
        <v>452</v>
      </c>
      <c r="J1181" s="1550" t="s">
        <v>352</v>
      </c>
      <c r="K1181" s="1530">
        <f ca="1">CELL("row",'記入シート'!C592)</f>
        <v>592</v>
      </c>
      <c r="L1181" s="1278"/>
      <c r="M1181" s="1301"/>
      <c r="N1181" s="1545"/>
      <c r="O1181" s="1295"/>
      <c r="P1181" s="1288"/>
      <c r="Q1181" s="424"/>
      <c r="R1181" s="419"/>
      <c r="S1181" s="419"/>
      <c r="T1181" s="419"/>
    </row>
    <row r="1182" spans="2:20" ht="19.5" customHeight="1">
      <c r="B1182" s="1259"/>
      <c r="C1182" s="1259"/>
      <c r="D1182" s="1257"/>
      <c r="E1182" s="712"/>
      <c r="F1182" s="708" t="s">
        <v>459</v>
      </c>
      <c r="G1182" s="1226">
        <f>IF(G1181=0,0,$L$49-G1181)</f>
        <v>0</v>
      </c>
      <c r="H1182" s="1227"/>
      <c r="I1182" s="681" t="s">
        <v>452</v>
      </c>
      <c r="J1182" s="1551"/>
      <c r="K1182" s="1531"/>
      <c r="L1182" s="1553"/>
      <c r="M1182" s="1301"/>
      <c r="N1182" s="1523" t="s">
        <v>479</v>
      </c>
      <c r="O1182" s="1294">
        <f>O1179/$L$49</f>
        <v>0</v>
      </c>
      <c r="P1182" s="1296" t="s">
        <v>453</v>
      </c>
      <c r="Q1182" s="424"/>
      <c r="R1182" s="419"/>
      <c r="S1182" s="419"/>
      <c r="T1182" s="419"/>
    </row>
    <row r="1183" spans="2:20" ht="19.5" customHeight="1">
      <c r="B1183" s="1259"/>
      <c r="C1183" s="1259"/>
      <c r="D1183" s="1257"/>
      <c r="E1183" s="732"/>
      <c r="F1183" s="730"/>
      <c r="G1183" s="730"/>
      <c r="H1183" s="731"/>
      <c r="I1183" s="733"/>
      <c r="J1183" s="1015"/>
      <c r="K1183" s="733"/>
      <c r="L1183" s="734"/>
      <c r="M1183" s="734"/>
      <c r="N1183" s="1547"/>
      <c r="O1183" s="1546"/>
      <c r="P1183" s="1287"/>
      <c r="Q1183" s="424"/>
      <c r="R1183" s="419"/>
      <c r="S1183" s="419"/>
      <c r="T1183" s="419"/>
    </row>
    <row r="1184" spans="2:20" ht="19.5" customHeight="1">
      <c r="B1184" s="1259"/>
      <c r="C1184" s="1259"/>
      <c r="D1184" s="1257"/>
      <c r="E1184" s="732"/>
      <c r="F1184" s="736"/>
      <c r="G1184" s="736"/>
      <c r="H1184" s="737"/>
      <c r="I1184" s="738"/>
      <c r="J1184" s="1017"/>
      <c r="K1184" s="738"/>
      <c r="L1184" s="740"/>
      <c r="M1184" s="740"/>
      <c r="N1184" s="1523" t="s">
        <v>483</v>
      </c>
      <c r="O1184" s="1294">
        <f>MAX(G1162,O1174,O1182)</f>
        <v>0</v>
      </c>
      <c r="P1184" s="1296" t="s">
        <v>453</v>
      </c>
      <c r="Q1184" s="424"/>
      <c r="R1184" s="419"/>
      <c r="S1184" s="419"/>
      <c r="T1184" s="419"/>
    </row>
    <row r="1185" spans="2:20" ht="19.5" customHeight="1">
      <c r="B1185" s="1259"/>
      <c r="C1185" s="1259"/>
      <c r="D1185" s="1257"/>
      <c r="E1185" s="732"/>
      <c r="F1185" s="736"/>
      <c r="G1185" s="736"/>
      <c r="H1185" s="737"/>
      <c r="I1185" s="738"/>
      <c r="J1185" s="1017"/>
      <c r="K1185" s="738"/>
      <c r="L1185" s="740"/>
      <c r="M1185" s="740"/>
      <c r="N1185" s="1547"/>
      <c r="O1185" s="1546"/>
      <c r="P1185" s="1287"/>
      <c r="Q1185" s="424"/>
      <c r="R1185" s="419"/>
      <c r="S1185" s="419"/>
      <c r="T1185" s="419"/>
    </row>
    <row r="1186" spans="2:20" ht="19.5" customHeight="1">
      <c r="B1186" s="1259"/>
      <c r="C1186" s="1259"/>
      <c r="D1186" s="1257"/>
      <c r="E1186" s="732"/>
      <c r="F1186" s="736"/>
      <c r="G1186" s="736"/>
      <c r="H1186" s="737"/>
      <c r="I1186" s="738"/>
      <c r="J1186" s="1017"/>
      <c r="K1186" s="738"/>
      <c r="L1186" s="740"/>
      <c r="M1186" s="740"/>
      <c r="N1186" s="1529"/>
      <c r="O1186" s="1295"/>
      <c r="P1186" s="1288"/>
      <c r="Q1186" s="424"/>
      <c r="R1186" s="419"/>
      <c r="S1186" s="419"/>
      <c r="T1186" s="419"/>
    </row>
    <row r="1187" spans="2:20" ht="19.5" customHeight="1">
      <c r="B1187" s="1259"/>
      <c r="C1187" s="1259"/>
      <c r="D1187" s="1257"/>
      <c r="E1187" s="732"/>
      <c r="F1187" s="736"/>
      <c r="G1187" s="736"/>
      <c r="H1187" s="737"/>
      <c r="I1187" s="738"/>
      <c r="J1187" s="1017"/>
      <c r="K1187" s="738"/>
      <c r="L1187" s="740"/>
      <c r="M1187" s="740"/>
      <c r="N1187" s="716" t="s">
        <v>485</v>
      </c>
      <c r="O1187" s="689">
        <f>O1184-O1182</f>
        <v>0</v>
      </c>
      <c r="P1187" s="704" t="s">
        <v>453</v>
      </c>
      <c r="Q1187" s="424"/>
      <c r="R1187" s="419"/>
      <c r="S1187" s="419"/>
      <c r="T1187" s="419"/>
    </row>
    <row r="1188" spans="2:20" ht="19.5" customHeight="1">
      <c r="B1188" s="1259"/>
      <c r="C1188" s="1259"/>
      <c r="D1188" s="1257"/>
      <c r="E1188" s="732"/>
      <c r="F1188" s="736"/>
      <c r="G1188" s="736"/>
      <c r="H1188" s="737"/>
      <c r="I1188" s="738"/>
      <c r="J1188" s="1017"/>
      <c r="K1188" s="738"/>
      <c r="L1188" s="740"/>
      <c r="M1188" s="740"/>
      <c r="N1188" s="1532" t="s">
        <v>125</v>
      </c>
      <c r="O1188" s="1534" t="str">
        <f>IF(O1182&gt;G1165/L1157,"OVER","INSIDE")</f>
        <v>INSIDE</v>
      </c>
      <c r="P1188" s="1535"/>
      <c r="Q1188" s="424"/>
      <c r="R1188" s="419"/>
      <c r="S1188" s="419"/>
      <c r="T1188" s="419"/>
    </row>
    <row r="1189" spans="2:20" ht="19.5" customHeight="1" thickBot="1">
      <c r="B1189" s="1259"/>
      <c r="C1189" s="1259"/>
      <c r="D1189" s="1257"/>
      <c r="E1189" s="732"/>
      <c r="F1189" s="736"/>
      <c r="G1189" s="736"/>
      <c r="H1189" s="737"/>
      <c r="I1189" s="738"/>
      <c r="J1189" s="1017"/>
      <c r="K1189" s="738"/>
      <c r="L1189" s="740"/>
      <c r="M1189" s="740"/>
      <c r="N1189" s="1533"/>
      <c r="O1189" s="1536"/>
      <c r="P1189" s="1537"/>
      <c r="Q1189" s="424"/>
      <c r="R1189" s="419"/>
      <c r="S1189" s="419"/>
      <c r="T1189" s="419"/>
    </row>
    <row r="1190" spans="2:20" ht="19.5" customHeight="1">
      <c r="B1190" s="1259" t="s">
        <v>298</v>
      </c>
      <c r="C1190" s="1259" t="s">
        <v>400</v>
      </c>
      <c r="D1190" s="1257" t="s">
        <v>487</v>
      </c>
      <c r="E1190" s="727"/>
      <c r="F1190" s="742" t="s">
        <v>1</v>
      </c>
      <c r="G1190" s="1204">
        <f>LEN(LEFT('記入シート'!D595,2))</f>
        <v>0</v>
      </c>
      <c r="H1190" s="1205"/>
      <c r="I1190" s="729" t="s">
        <v>452</v>
      </c>
      <c r="J1190" s="1538" t="s">
        <v>353</v>
      </c>
      <c r="K1190" s="1542">
        <f ca="1">CELL("row",'記入シート'!D595)</f>
        <v>595</v>
      </c>
      <c r="L1190" s="1539">
        <v>2</v>
      </c>
      <c r="M1190" s="1540">
        <f>M1157</f>
        <v>129</v>
      </c>
      <c r="N1190" s="1541" t="s">
        <v>8</v>
      </c>
      <c r="O1190" s="1521">
        <f>IF(G1190=0,0,1)</f>
        <v>0</v>
      </c>
      <c r="P1190" s="1522" t="s">
        <v>453</v>
      </c>
      <c r="Q1190" s="503" t="s">
        <v>6</v>
      </c>
      <c r="R1190" s="419"/>
      <c r="S1190" s="419"/>
      <c r="T1190" s="419"/>
    </row>
    <row r="1191" spans="2:20" ht="19.5" customHeight="1">
      <c r="B1191" s="1259"/>
      <c r="C1191" s="1259"/>
      <c r="D1191" s="1257"/>
      <c r="E1191" s="712"/>
      <c r="F1191" s="709" t="s">
        <v>2</v>
      </c>
      <c r="G1191" s="1226">
        <f>$L$58-G1190</f>
        <v>2</v>
      </c>
      <c r="H1191" s="1227"/>
      <c r="I1191" s="696" t="s">
        <v>452</v>
      </c>
      <c r="J1191" s="1297"/>
      <c r="K1191" s="1531"/>
      <c r="L1191" s="1299"/>
      <c r="M1191" s="1302"/>
      <c r="N1191" s="1526"/>
      <c r="O1191" s="1295"/>
      <c r="P1191" s="1288"/>
      <c r="Q1191" s="986">
        <f>IF(G1168="OVER","",IF(G1161=0,"",IF(O1190=0,REPT("　",5*O1192),CONCATENATE(REPT("　",G1191),LEFT('記入シート'!D595,L1190),"／",REPT("　",G1193),LEFT('記入シート'!G595,L1192),REPT("　",5*O1192)))))</f>
      </c>
      <c r="R1191" s="419"/>
      <c r="S1191" s="419"/>
      <c r="T1191" s="419"/>
    </row>
    <row r="1192" spans="2:20" ht="19.5" customHeight="1">
      <c r="B1192" s="1259"/>
      <c r="C1192" s="1259"/>
      <c r="D1192" s="1257"/>
      <c r="E1192" s="712"/>
      <c r="F1192" s="709" t="s">
        <v>3</v>
      </c>
      <c r="G1192" s="1226">
        <f>LEN(LEFT('記入シート'!G595,2))</f>
        <v>0</v>
      </c>
      <c r="H1192" s="1227"/>
      <c r="I1192" s="696" t="s">
        <v>452</v>
      </c>
      <c r="J1192" s="1297" t="s">
        <v>354</v>
      </c>
      <c r="K1192" s="1530">
        <f ca="1">CELL("row",'記入シート'!G595)</f>
        <v>595</v>
      </c>
      <c r="L1192" s="1299">
        <v>2</v>
      </c>
      <c r="M1192" s="1301">
        <f>M1157</f>
        <v>129</v>
      </c>
      <c r="N1192" s="743" t="s">
        <v>9</v>
      </c>
      <c r="O1192" s="744">
        <f>IF(O1184=0,0,O1184-O1190)</f>
        <v>0</v>
      </c>
      <c r="P1192" s="715" t="s">
        <v>453</v>
      </c>
      <c r="Q1192" s="987"/>
      <c r="R1192" s="419"/>
      <c r="S1192" s="419"/>
      <c r="T1192" s="419"/>
    </row>
    <row r="1193" spans="2:20" ht="19.5" customHeight="1">
      <c r="B1193" s="1259"/>
      <c r="C1193" s="1259"/>
      <c r="D1193" s="1257"/>
      <c r="E1193" s="713" t="s">
        <v>403</v>
      </c>
      <c r="F1193" s="709" t="s">
        <v>461</v>
      </c>
      <c r="G1193" s="1226">
        <f>$L$60-G1192</f>
        <v>2</v>
      </c>
      <c r="H1193" s="1227"/>
      <c r="I1193" s="696" t="s">
        <v>452</v>
      </c>
      <c r="J1193" s="1297"/>
      <c r="K1193" s="1531"/>
      <c r="L1193" s="1299"/>
      <c r="M1193" s="1301"/>
      <c r="N1193" s="688"/>
      <c r="O1193" s="689"/>
      <c r="P1193" s="690"/>
      <c r="Q1193" s="988"/>
      <c r="R1193" s="419"/>
      <c r="S1193" s="419"/>
      <c r="T1193" s="419"/>
    </row>
    <row r="1194" spans="2:20" ht="19.5" customHeight="1">
      <c r="B1194" s="1259"/>
      <c r="C1194" s="1259"/>
      <c r="D1194" s="1257"/>
      <c r="E1194" s="713" t="s">
        <v>306</v>
      </c>
      <c r="F1194" s="709" t="s">
        <v>4</v>
      </c>
      <c r="G1194" s="1226">
        <f>LEN(LEFT('記入シート'!N595,2))</f>
        <v>0</v>
      </c>
      <c r="H1194" s="1227"/>
      <c r="I1194" s="696" t="s">
        <v>452</v>
      </c>
      <c r="J1194" s="1297" t="s">
        <v>355</v>
      </c>
      <c r="K1194" s="1530">
        <f ca="1">CELL("row",'記入シート'!N595)</f>
        <v>595</v>
      </c>
      <c r="L1194" s="1299">
        <v>2</v>
      </c>
      <c r="M1194" s="1301">
        <f>M1157</f>
        <v>129</v>
      </c>
      <c r="N1194" s="1525" t="s">
        <v>178</v>
      </c>
      <c r="O1194" s="1294">
        <f>IF(G1194=0,0,1)</f>
        <v>0</v>
      </c>
      <c r="P1194" s="1296" t="s">
        <v>453</v>
      </c>
      <c r="Q1194" s="503" t="s">
        <v>7</v>
      </c>
      <c r="R1194" s="419"/>
      <c r="S1194" s="419"/>
      <c r="T1194" s="419"/>
    </row>
    <row r="1195" spans="2:20" ht="19.5" customHeight="1">
      <c r="B1195" s="1259"/>
      <c r="C1195" s="1259"/>
      <c r="D1195" s="1257"/>
      <c r="E1195" s="712"/>
      <c r="F1195" s="709" t="s">
        <v>5</v>
      </c>
      <c r="G1195" s="1226">
        <f>$L$62-G1194</f>
        <v>2</v>
      </c>
      <c r="H1195" s="1227"/>
      <c r="I1195" s="696" t="s">
        <v>452</v>
      </c>
      <c r="J1195" s="1297"/>
      <c r="K1195" s="1531"/>
      <c r="L1195" s="1299"/>
      <c r="M1195" s="1301"/>
      <c r="N1195" s="1526"/>
      <c r="O1195" s="1295"/>
      <c r="P1195" s="1288"/>
      <c r="Q1195" s="986">
        <f>IF(G1168="OVER","",IF(G1161=0,"",IF(O1194=0,REPT("　",5*O1196),CONCATENATE(REPT("　",G1195),LEFT('記入シート'!N595,L1194),"／",REPT("　",G1197),LEFT('記入シート'!Q595,L1196),REPT("　",5*O1196)))))</f>
      </c>
      <c r="R1195" s="419"/>
      <c r="S1195" s="419"/>
      <c r="T1195" s="419"/>
    </row>
    <row r="1196" spans="2:20" ht="19.5" customHeight="1">
      <c r="B1196" s="1259"/>
      <c r="C1196" s="1259"/>
      <c r="D1196" s="1257"/>
      <c r="E1196" s="712"/>
      <c r="F1196" s="709" t="s">
        <v>462</v>
      </c>
      <c r="G1196" s="1226">
        <f>LEN(LEFT('記入シート'!Q595,2))</f>
        <v>0</v>
      </c>
      <c r="H1196" s="1227"/>
      <c r="I1196" s="696" t="s">
        <v>452</v>
      </c>
      <c r="J1196" s="1297" t="s">
        <v>356</v>
      </c>
      <c r="K1196" s="1530">
        <f ca="1">CELL("row",'記入シート'!Q595)</f>
        <v>595</v>
      </c>
      <c r="L1196" s="1299">
        <v>2</v>
      </c>
      <c r="M1196" s="1301">
        <f>M1157</f>
        <v>129</v>
      </c>
      <c r="N1196" s="743" t="s">
        <v>179</v>
      </c>
      <c r="O1196" s="744">
        <f>IF(O1184=0,0,O1184-O1194)</f>
        <v>0</v>
      </c>
      <c r="P1196" s="715" t="s">
        <v>453</v>
      </c>
      <c r="Q1196" s="987"/>
      <c r="R1196" s="419"/>
      <c r="S1196" s="419"/>
      <c r="T1196" s="419"/>
    </row>
    <row r="1197" spans="2:20" ht="19.5" customHeight="1" thickBot="1">
      <c r="B1197" s="1259"/>
      <c r="C1197" s="1259"/>
      <c r="D1197" s="1257"/>
      <c r="E1197" s="764"/>
      <c r="F1197" s="709" t="s">
        <v>463</v>
      </c>
      <c r="G1197" s="1231">
        <f>$L$64-G1196</f>
        <v>2</v>
      </c>
      <c r="H1197" s="1232"/>
      <c r="I1197" s="696" t="s">
        <v>452</v>
      </c>
      <c r="J1197" s="1298"/>
      <c r="K1197" s="1570"/>
      <c r="L1197" s="1300"/>
      <c r="M1197" s="1302"/>
      <c r="N1197" s="688"/>
      <c r="O1197" s="689"/>
      <c r="P1197" s="690"/>
      <c r="Q1197" s="989"/>
      <c r="R1197" s="419"/>
      <c r="S1197" s="419"/>
      <c r="T1197" s="419"/>
    </row>
    <row r="1198" spans="2:20" ht="19.5" customHeight="1">
      <c r="B1198" s="1259"/>
      <c r="C1198" s="1259"/>
      <c r="D1198" s="1257" t="s">
        <v>487</v>
      </c>
      <c r="E1198" s="746" t="s">
        <v>404</v>
      </c>
      <c r="F1198" s="728" t="s">
        <v>420</v>
      </c>
      <c r="G1198" s="1204">
        <f>LEN(LEFT('記入シート'!C598,L1198))</f>
        <v>0</v>
      </c>
      <c r="H1198" s="1205"/>
      <c r="I1198" s="729" t="s">
        <v>452</v>
      </c>
      <c r="J1198" s="1274" t="s">
        <v>352</v>
      </c>
      <c r="K1198" s="1562">
        <f ca="1">CELL("row",'記入シート'!C598)</f>
        <v>598</v>
      </c>
      <c r="L1198" s="1552">
        <f>$L$66</f>
        <v>1</v>
      </c>
      <c r="M1198" s="1517">
        <f>M1157</f>
        <v>129</v>
      </c>
      <c r="N1198" s="1541" t="s">
        <v>10</v>
      </c>
      <c r="O1198" s="1521">
        <f>IF(G1198=0,0,1)</f>
        <v>0</v>
      </c>
      <c r="P1198" s="1522" t="s">
        <v>453</v>
      </c>
      <c r="Q1198" s="639">
        <f>IF(G1168="OVER","",IF(G1159=0,"",CONCATENATE(LEFT('記入シート'!C598,1),REPT("　",O1200))))</f>
      </c>
      <c r="R1198" s="419"/>
      <c r="S1198" s="419"/>
      <c r="T1198" s="419"/>
    </row>
    <row r="1199" spans="2:20" ht="19.5" customHeight="1">
      <c r="B1199" s="1259"/>
      <c r="C1199" s="1259"/>
      <c r="D1199" s="1257"/>
      <c r="E1199" s="713" t="s">
        <v>306</v>
      </c>
      <c r="F1199" s="709" t="s">
        <v>460</v>
      </c>
      <c r="G1199" s="1226">
        <f>$L$66-G1198</f>
        <v>1</v>
      </c>
      <c r="H1199" s="1227"/>
      <c r="I1199" s="696" t="s">
        <v>452</v>
      </c>
      <c r="J1199" s="1275"/>
      <c r="K1199" s="1563"/>
      <c r="L1199" s="1278"/>
      <c r="M1199" s="1284"/>
      <c r="N1199" s="1526"/>
      <c r="O1199" s="1295"/>
      <c r="P1199" s="1288"/>
      <c r="Q1199" s="424"/>
      <c r="R1199" s="419"/>
      <c r="S1199" s="419"/>
      <c r="T1199" s="419"/>
    </row>
    <row r="1200" spans="2:20" ht="19.5" customHeight="1" thickBot="1">
      <c r="B1200" s="1260"/>
      <c r="C1200" s="1260"/>
      <c r="D1200" s="1258"/>
      <c r="E1200" s="747"/>
      <c r="F1200" s="748" t="s">
        <v>158</v>
      </c>
      <c r="G1200" s="749" t="s">
        <v>159</v>
      </c>
      <c r="H1200" s="798">
        <f>WIDECHAR('記入シート'!C598)</f>
      </c>
      <c r="I1200" s="750" t="s">
        <v>160</v>
      </c>
      <c r="J1200" s="1561"/>
      <c r="K1200" s="1567"/>
      <c r="L1200" s="1564"/>
      <c r="M1200" s="1565"/>
      <c r="N1200" s="765" t="s">
        <v>486</v>
      </c>
      <c r="O1200" s="766">
        <f>IF(O1184=0,0,O1184-O1198)</f>
        <v>0</v>
      </c>
      <c r="P1200" s="767" t="s">
        <v>453</v>
      </c>
      <c r="Q1200" s="424"/>
      <c r="R1200" s="419"/>
      <c r="S1200" s="419"/>
      <c r="T1200" s="419"/>
    </row>
    <row r="1201" spans="2:20" ht="19.5" customHeight="1" thickTop="1">
      <c r="B1201" s="1261" t="s">
        <v>299</v>
      </c>
      <c r="C1201" s="1261" t="s">
        <v>400</v>
      </c>
      <c r="D1201" s="1282" t="s">
        <v>473</v>
      </c>
      <c r="E1201" s="945" t="s">
        <v>437</v>
      </c>
      <c r="F1201" s="941"/>
      <c r="G1201" s="1559">
        <f>IF(G1157-G1164-O1157*L1157&lt;0,0,G1157-G1164-O1157*L1157)</f>
        <v>2451</v>
      </c>
      <c r="H1201" s="1560"/>
      <c r="I1201" s="941" t="s">
        <v>452</v>
      </c>
      <c r="J1201" s="1274" t="s">
        <v>352</v>
      </c>
      <c r="K1201" s="1562">
        <f ca="1">CELL("row",'記入シート'!C603)</f>
        <v>603</v>
      </c>
      <c r="L1201" s="1277">
        <f>$L$32</f>
        <v>19</v>
      </c>
      <c r="M1201" s="1283">
        <f>IF(G1209/L1201&lt;0,0,G1209/L1201)</f>
        <v>129</v>
      </c>
      <c r="N1201" s="1558" t="s">
        <v>481</v>
      </c>
      <c r="O1201" s="1555">
        <f>O1228-G1206</f>
        <v>0</v>
      </c>
      <c r="P1201" s="1286" t="s">
        <v>453</v>
      </c>
      <c r="Q1201" s="1263">
        <f>IF(G1205=0,REPT("　",O1201*L1201),CONCATENATE("③　",'記入シート'!C603,REPT("　",O1201*L1201+ABS(G1207))))</f>
      </c>
      <c r="R1201" s="1264"/>
      <c r="S1201" s="1264"/>
      <c r="T1201" s="1265"/>
    </row>
    <row r="1202" spans="2:20" ht="19.5" customHeight="1">
      <c r="B1202" s="1259"/>
      <c r="C1202" s="1259"/>
      <c r="D1202" s="1257"/>
      <c r="E1202" s="946" t="s">
        <v>136</v>
      </c>
      <c r="F1202" s="936"/>
      <c r="G1202" s="1289">
        <f>IF(G1201&gt;2,G1201-2,0)</f>
        <v>2449</v>
      </c>
      <c r="H1202" s="1290"/>
      <c r="I1202" s="936" t="s">
        <v>452</v>
      </c>
      <c r="J1202" s="1275"/>
      <c r="K1202" s="1563"/>
      <c r="L1202" s="1278"/>
      <c r="M1202" s="1284"/>
      <c r="N1202" s="1547"/>
      <c r="O1202" s="1546"/>
      <c r="P1202" s="1287"/>
      <c r="Q1202" s="1266"/>
      <c r="R1202" s="1267"/>
      <c r="S1202" s="1267"/>
      <c r="T1202" s="1268"/>
    </row>
    <row r="1203" spans="2:20" ht="19.5" customHeight="1">
      <c r="B1203" s="1259"/>
      <c r="C1203" s="1259"/>
      <c r="D1203" s="1257"/>
      <c r="E1203" s="946" t="s">
        <v>151</v>
      </c>
      <c r="F1203" s="936"/>
      <c r="G1203" s="1289">
        <f>LEN('記入シート'!C603)</f>
        <v>0</v>
      </c>
      <c r="H1203" s="1290"/>
      <c r="I1203" s="938" t="s">
        <v>452</v>
      </c>
      <c r="J1203" s="1275"/>
      <c r="K1203" s="1563"/>
      <c r="L1203" s="1278"/>
      <c r="M1203" s="1284"/>
      <c r="N1203" s="1529"/>
      <c r="O1203" s="1295"/>
      <c r="P1203" s="1288"/>
      <c r="Q1203" s="1266"/>
      <c r="R1203" s="1267"/>
      <c r="S1203" s="1267"/>
      <c r="T1203" s="1268"/>
    </row>
    <row r="1204" spans="2:20" ht="19.5" customHeight="1">
      <c r="B1204" s="1259"/>
      <c r="C1204" s="1259"/>
      <c r="D1204" s="1257"/>
      <c r="E1204" s="946" t="s">
        <v>167</v>
      </c>
      <c r="F1204" s="936"/>
      <c r="G1204" s="1291" t="str">
        <f>IF(G1203&gt;G1202,"OVER","INSIDE")</f>
        <v>INSIDE</v>
      </c>
      <c r="H1204" s="1292"/>
      <c r="I1204" s="1293"/>
      <c r="J1204" s="1275"/>
      <c r="K1204" s="1563"/>
      <c r="L1204" s="1278"/>
      <c r="M1204" s="1284"/>
      <c r="N1204" s="706"/>
      <c r="O1204" s="689"/>
      <c r="P1204" s="690"/>
      <c r="Q1204" s="1266"/>
      <c r="R1204" s="1267"/>
      <c r="S1204" s="1267"/>
      <c r="T1204" s="1268"/>
    </row>
    <row r="1205" spans="2:20" ht="19.5" customHeight="1">
      <c r="B1205" s="1259"/>
      <c r="C1205" s="1259"/>
      <c r="D1205" s="1257"/>
      <c r="E1205" s="703" t="s">
        <v>155</v>
      </c>
      <c r="F1205" s="677"/>
      <c r="G1205" s="1226">
        <f>IF(G1203=0,0,IF(G1204="OVER",0,G1203+2))</f>
        <v>0</v>
      </c>
      <c r="H1205" s="1227"/>
      <c r="I1205" s="681" t="s">
        <v>452</v>
      </c>
      <c r="J1205" s="1275"/>
      <c r="K1205" s="1563"/>
      <c r="L1205" s="1278"/>
      <c r="M1205" s="1284"/>
      <c r="N1205" s="706"/>
      <c r="O1205" s="689"/>
      <c r="P1205" s="690"/>
      <c r="Q1205" s="1266"/>
      <c r="R1205" s="1267"/>
      <c r="S1205" s="1267"/>
      <c r="T1205" s="1268"/>
    </row>
    <row r="1206" spans="2:20" ht="19.5" customHeight="1">
      <c r="B1206" s="1259"/>
      <c r="C1206" s="1259"/>
      <c r="D1206" s="1257"/>
      <c r="E1206" s="707" t="s">
        <v>451</v>
      </c>
      <c r="F1206" s="708"/>
      <c r="G1206" s="1226">
        <f>ROUNDUP(G1205/L1201,0)</f>
        <v>0</v>
      </c>
      <c r="H1206" s="1227"/>
      <c r="I1206" s="681" t="s">
        <v>453</v>
      </c>
      <c r="J1206" s="1275"/>
      <c r="K1206" s="1563"/>
      <c r="L1206" s="1278"/>
      <c r="M1206" s="1284"/>
      <c r="N1206" s="706"/>
      <c r="O1206" s="689"/>
      <c r="P1206" s="690"/>
      <c r="Q1206" s="1266"/>
      <c r="R1206" s="1267"/>
      <c r="S1206" s="1267"/>
      <c r="T1206" s="1268"/>
    </row>
    <row r="1207" spans="2:20" ht="19.5" customHeight="1">
      <c r="B1207" s="1259"/>
      <c r="C1207" s="1259"/>
      <c r="D1207" s="1257"/>
      <c r="E1207" s="707" t="s">
        <v>419</v>
      </c>
      <c r="F1207" s="708"/>
      <c r="G1207" s="1226">
        <f>G1205-G1206*L1201</f>
        <v>0</v>
      </c>
      <c r="H1207" s="1227"/>
      <c r="I1207" s="681" t="s">
        <v>452</v>
      </c>
      <c r="J1207" s="1275"/>
      <c r="K1207" s="1563"/>
      <c r="L1207" s="1278"/>
      <c r="M1207" s="1284"/>
      <c r="N1207" s="706"/>
      <c r="O1207" s="689"/>
      <c r="P1207" s="690"/>
      <c r="Q1207" s="1266"/>
      <c r="R1207" s="1267"/>
      <c r="S1207" s="1267"/>
      <c r="T1207" s="1268"/>
    </row>
    <row r="1208" spans="2:20" ht="19.5" customHeight="1" thickBot="1">
      <c r="B1208" s="1259"/>
      <c r="C1208" s="1280"/>
      <c r="D1208" s="1281"/>
      <c r="E1208" s="884" t="s">
        <v>423</v>
      </c>
      <c r="F1208" s="709"/>
      <c r="G1208" s="1224">
        <f>G1206*L1201</f>
        <v>0</v>
      </c>
      <c r="H1208" s="1225"/>
      <c r="I1208" s="696" t="s">
        <v>452</v>
      </c>
      <c r="J1208" s="1275"/>
      <c r="K1208" s="1563"/>
      <c r="L1208" s="1278"/>
      <c r="M1208" s="1284"/>
      <c r="N1208" s="706"/>
      <c r="O1208" s="689"/>
      <c r="P1208" s="690"/>
      <c r="Q1208" s="1266"/>
      <c r="R1208" s="1267"/>
      <c r="S1208" s="1267"/>
      <c r="T1208" s="1268"/>
    </row>
    <row r="1209" spans="2:20" ht="19.5" customHeight="1">
      <c r="B1209" s="1259" t="s">
        <v>299</v>
      </c>
      <c r="C1209" s="1273" t="s">
        <v>332</v>
      </c>
      <c r="D1209" s="1272" t="s">
        <v>338</v>
      </c>
      <c r="E1209" s="702" t="s">
        <v>437</v>
      </c>
      <c r="F1209" s="693"/>
      <c r="G1209" s="1204">
        <f>IF(G1165-G1164-O1157*L1157&lt;0,0,G1165-G1164-O1157*L1157)</f>
        <v>2451</v>
      </c>
      <c r="H1209" s="1205"/>
      <c r="I1209" s="693" t="s">
        <v>452</v>
      </c>
      <c r="J1209" s="1275"/>
      <c r="K1209" s="1563"/>
      <c r="L1209" s="1278"/>
      <c r="M1209" s="1284"/>
      <c r="N1209" s="706"/>
      <c r="O1209" s="689"/>
      <c r="P1209" s="690"/>
      <c r="Q1209" s="1266"/>
      <c r="R1209" s="1267"/>
      <c r="S1209" s="1267"/>
      <c r="T1209" s="1268"/>
    </row>
    <row r="1210" spans="2:20" ht="19.5" customHeight="1">
      <c r="B1210" s="1259"/>
      <c r="C1210" s="1259"/>
      <c r="D1210" s="1257"/>
      <c r="E1210" s="771" t="s">
        <v>136</v>
      </c>
      <c r="F1210" s="681"/>
      <c r="G1210" s="1206">
        <f>IF(G1209&gt;2,G1209-2,0)</f>
        <v>2449</v>
      </c>
      <c r="H1210" s="1207"/>
      <c r="I1210" s="796" t="s">
        <v>452</v>
      </c>
      <c r="J1210" s="1275"/>
      <c r="K1210" s="1563"/>
      <c r="L1210" s="1278"/>
      <c r="M1210" s="1284"/>
      <c r="N1210" s="706"/>
      <c r="O1210" s="689"/>
      <c r="P1210" s="690"/>
      <c r="Q1210" s="1266"/>
      <c r="R1210" s="1267"/>
      <c r="S1210" s="1267"/>
      <c r="T1210" s="1268"/>
    </row>
    <row r="1211" spans="2:20" ht="19.5" customHeight="1">
      <c r="B1211" s="1259"/>
      <c r="C1211" s="1259"/>
      <c r="D1211" s="1257"/>
      <c r="E1211" s="703" t="s">
        <v>151</v>
      </c>
      <c r="F1211" s="677"/>
      <c r="G1211" s="1226">
        <f>LEN('記入シート'!C603)</f>
        <v>0</v>
      </c>
      <c r="H1211" s="1227"/>
      <c r="I1211" s="681" t="s">
        <v>452</v>
      </c>
      <c r="J1211" s="1275"/>
      <c r="K1211" s="1563"/>
      <c r="L1211" s="1278"/>
      <c r="M1211" s="1284"/>
      <c r="N1211" s="706"/>
      <c r="O1211" s="689"/>
      <c r="P1211" s="690"/>
      <c r="Q1211" s="1266"/>
      <c r="R1211" s="1267"/>
      <c r="S1211" s="1267"/>
      <c r="T1211" s="1268"/>
    </row>
    <row r="1212" spans="2:20" ht="19.5" customHeight="1" thickBot="1">
      <c r="B1212" s="1259"/>
      <c r="C1212" s="1280"/>
      <c r="D1212" s="1281"/>
      <c r="E1212" s="947" t="s">
        <v>167</v>
      </c>
      <c r="F1212" s="753"/>
      <c r="G1212" s="1236" t="str">
        <f>IF(G1211&gt;G1210,"OVER","INSIDE")</f>
        <v>INSIDE</v>
      </c>
      <c r="H1212" s="1237"/>
      <c r="I1212" s="1238"/>
      <c r="J1212" s="1276"/>
      <c r="K1212" s="1573"/>
      <c r="L1212" s="1279"/>
      <c r="M1212" s="1285"/>
      <c r="N1212" s="710"/>
      <c r="O1212" s="698"/>
      <c r="P1212" s="699"/>
      <c r="Q1212" s="1269"/>
      <c r="R1212" s="1270"/>
      <c r="S1212" s="1270"/>
      <c r="T1212" s="1271"/>
    </row>
    <row r="1213" spans="2:20" ht="19.5" customHeight="1">
      <c r="B1213" s="1259" t="s">
        <v>299</v>
      </c>
      <c r="C1213" s="1273" t="s">
        <v>400</v>
      </c>
      <c r="D1213" s="1272" t="s">
        <v>266</v>
      </c>
      <c r="E1213" s="713"/>
      <c r="F1213" s="754" t="s">
        <v>455</v>
      </c>
      <c r="G1213" s="1454">
        <f>LEN(LEFT('記入シート'!C607,L1213))</f>
        <v>0</v>
      </c>
      <c r="H1213" s="1455"/>
      <c r="I1213" s="755" t="s">
        <v>452</v>
      </c>
      <c r="J1213" s="1551" t="s">
        <v>352</v>
      </c>
      <c r="K1213" s="1460">
        <f ca="1">CELL("row",'記入シート'!C607)</f>
        <v>607</v>
      </c>
      <c r="L1213" s="1278">
        <f>$L$40</f>
        <v>6</v>
      </c>
      <c r="M1213" s="1566">
        <f>M1201</f>
        <v>129</v>
      </c>
      <c r="N1213" s="1544" t="s">
        <v>474</v>
      </c>
      <c r="O1213" s="1546">
        <f>SUM(G1213:H1220)</f>
        <v>0</v>
      </c>
      <c r="P1213" s="1556" t="s">
        <v>452</v>
      </c>
      <c r="Q1213" s="1554">
        <f>IF(O1218=0,REPT("　",O1228*L1213),CONCATENATE(LEFT('記入シート'!C607,L1213),REPT("　",G1214),LEFT('記入シート'!C608,L1213),REPT("　",G1216),LEFT('記入シート'!C609,L1213),REPT("　",G1218),LEFT('記入シート'!C610,L1213),REPT("　",G1220),REPT("　",L1213*O1220)))</f>
      </c>
      <c r="R1213" s="313"/>
      <c r="S1213" s="313"/>
      <c r="T1213" s="313"/>
    </row>
    <row r="1214" spans="2:20" ht="19.5" customHeight="1">
      <c r="B1214" s="1259"/>
      <c r="C1214" s="1259"/>
      <c r="D1214" s="1257"/>
      <c r="E1214" s="713"/>
      <c r="F1214" s="709" t="s">
        <v>458</v>
      </c>
      <c r="G1214" s="1226">
        <f>IF(G1213=0,0,$L$40-G1213)</f>
        <v>0</v>
      </c>
      <c r="H1214" s="1227"/>
      <c r="I1214" s="696" t="s">
        <v>452</v>
      </c>
      <c r="J1214" s="1297"/>
      <c r="K1214" s="1253"/>
      <c r="L1214" s="1278"/>
      <c r="M1214" s="1566"/>
      <c r="N1214" s="1544"/>
      <c r="O1214" s="1546"/>
      <c r="P1214" s="1556"/>
      <c r="Q1214" s="1554"/>
      <c r="R1214" s="313"/>
      <c r="S1214" s="313"/>
      <c r="T1214" s="313"/>
    </row>
    <row r="1215" spans="2:20" ht="19.5" customHeight="1">
      <c r="B1215" s="1259"/>
      <c r="C1215" s="1259"/>
      <c r="D1215" s="1257"/>
      <c r="E1215" s="713"/>
      <c r="F1215" s="709" t="s">
        <v>456</v>
      </c>
      <c r="G1215" s="1226">
        <f>LEN(LEFT('記入シート'!C608,L1213))</f>
        <v>0</v>
      </c>
      <c r="H1215" s="1227"/>
      <c r="I1215" s="696" t="s">
        <v>452</v>
      </c>
      <c r="J1215" s="1297" t="s">
        <v>352</v>
      </c>
      <c r="K1215" s="1253">
        <f ca="1">CELL("row",'記入シート'!C608)</f>
        <v>608</v>
      </c>
      <c r="L1215" s="1278"/>
      <c r="M1215" s="1566"/>
      <c r="N1215" s="1544"/>
      <c r="O1215" s="1546"/>
      <c r="P1215" s="1556"/>
      <c r="Q1215" s="1554"/>
      <c r="R1215" s="313"/>
      <c r="S1215" s="313"/>
      <c r="T1215" s="313"/>
    </row>
    <row r="1216" spans="2:20" ht="19.5" customHeight="1">
      <c r="B1216" s="1259"/>
      <c r="C1216" s="1259"/>
      <c r="D1216" s="1257"/>
      <c r="E1216" s="713" t="s">
        <v>401</v>
      </c>
      <c r="F1216" s="709" t="s">
        <v>459</v>
      </c>
      <c r="G1216" s="1226">
        <f>IF(G1215=0,0,$L$40-G1215)</f>
        <v>0</v>
      </c>
      <c r="H1216" s="1227"/>
      <c r="I1216" s="696" t="s">
        <v>452</v>
      </c>
      <c r="J1216" s="1297"/>
      <c r="K1216" s="1253"/>
      <c r="L1216" s="1278"/>
      <c r="M1216" s="1566"/>
      <c r="N1216" s="1544"/>
      <c r="O1216" s="1546"/>
      <c r="P1216" s="1556"/>
      <c r="Q1216" s="1549"/>
      <c r="R1216" s="313"/>
      <c r="S1216" s="313"/>
      <c r="T1216" s="313"/>
    </row>
    <row r="1217" spans="2:20" ht="19.5" customHeight="1">
      <c r="B1217" s="1259"/>
      <c r="C1217" s="1259"/>
      <c r="D1217" s="1257"/>
      <c r="E1217" s="713" t="s">
        <v>307</v>
      </c>
      <c r="F1217" s="708" t="s">
        <v>475</v>
      </c>
      <c r="G1217" s="1226">
        <f>LEN(LEFT('記入シート'!C609,L1213))</f>
        <v>0</v>
      </c>
      <c r="H1217" s="1227"/>
      <c r="I1217" s="696" t="s">
        <v>452</v>
      </c>
      <c r="J1217" s="1550" t="s">
        <v>352</v>
      </c>
      <c r="K1217" s="1253">
        <f ca="1">CELL("row",'記入シート'!C609)</f>
        <v>609</v>
      </c>
      <c r="L1217" s="1278"/>
      <c r="M1217" s="1566"/>
      <c r="N1217" s="1545"/>
      <c r="O1217" s="1295"/>
      <c r="P1217" s="1557"/>
      <c r="Q1217" s="320"/>
      <c r="R1217" s="313"/>
      <c r="S1217" s="313"/>
      <c r="T1217" s="313"/>
    </row>
    <row r="1218" spans="2:20" ht="19.5" customHeight="1">
      <c r="B1218" s="1259"/>
      <c r="C1218" s="1259"/>
      <c r="D1218" s="1257"/>
      <c r="E1218" s="713"/>
      <c r="F1218" s="708" t="s">
        <v>476</v>
      </c>
      <c r="G1218" s="1226">
        <f>IF(G1217=0,0,$L$40-G1217)</f>
        <v>0</v>
      </c>
      <c r="H1218" s="1227"/>
      <c r="I1218" s="696" t="s">
        <v>452</v>
      </c>
      <c r="J1218" s="1551"/>
      <c r="K1218" s="1253"/>
      <c r="L1218" s="1278"/>
      <c r="M1218" s="1566"/>
      <c r="N1218" s="1523" t="s">
        <v>480</v>
      </c>
      <c r="O1218" s="1294">
        <f>O1213/$L$40</f>
        <v>0</v>
      </c>
      <c r="P1218" s="1296" t="s">
        <v>453</v>
      </c>
      <c r="Q1218" s="320"/>
      <c r="R1218" s="313"/>
      <c r="S1218" s="313"/>
      <c r="T1218" s="313"/>
    </row>
    <row r="1219" spans="2:20" ht="19.5" customHeight="1">
      <c r="B1219" s="1259"/>
      <c r="C1219" s="1259"/>
      <c r="D1219" s="1257"/>
      <c r="E1219" s="713"/>
      <c r="F1219" s="708" t="s">
        <v>477</v>
      </c>
      <c r="G1219" s="1226">
        <f>LEN(LEFT('記入シート'!C610,L1213))</f>
        <v>0</v>
      </c>
      <c r="H1219" s="1227"/>
      <c r="I1219" s="696" t="s">
        <v>452</v>
      </c>
      <c r="J1219" s="1550" t="s">
        <v>352</v>
      </c>
      <c r="K1219" s="1253">
        <f ca="1">CELL("row",'記入シート'!C610)</f>
        <v>610</v>
      </c>
      <c r="L1219" s="1278"/>
      <c r="M1219" s="1566"/>
      <c r="N1219" s="1529"/>
      <c r="O1219" s="1295"/>
      <c r="P1219" s="1288"/>
      <c r="Q1219" s="995"/>
      <c r="R1219" s="313"/>
      <c r="S1219" s="313"/>
      <c r="T1219" s="313"/>
    </row>
    <row r="1220" spans="2:20" ht="19.5" customHeight="1">
      <c r="B1220" s="1259"/>
      <c r="C1220" s="1259"/>
      <c r="D1220" s="1257"/>
      <c r="E1220" s="713"/>
      <c r="F1220" s="709" t="s">
        <v>478</v>
      </c>
      <c r="G1220" s="1226">
        <f>IF(G1219=0,0,$L$40-G1219)</f>
        <v>0</v>
      </c>
      <c r="H1220" s="1227"/>
      <c r="I1220" s="696" t="s">
        <v>452</v>
      </c>
      <c r="J1220" s="1551"/>
      <c r="K1220" s="1253"/>
      <c r="L1220" s="1278"/>
      <c r="M1220" s="1566"/>
      <c r="N1220" s="756" t="s">
        <v>482</v>
      </c>
      <c r="O1220" s="757">
        <f>O1228-O1218</f>
        <v>0</v>
      </c>
      <c r="P1220" s="717" t="s">
        <v>453</v>
      </c>
      <c r="Q1220" s="995"/>
      <c r="R1220" s="313"/>
      <c r="S1220" s="313"/>
      <c r="T1220" s="313"/>
    </row>
    <row r="1221" spans="2:20" ht="19.5" customHeight="1">
      <c r="B1221" s="1259"/>
      <c r="C1221" s="1259"/>
      <c r="D1221" s="1257"/>
      <c r="E1221" s="732"/>
      <c r="F1221" s="730"/>
      <c r="G1221" s="730"/>
      <c r="H1221" s="731"/>
      <c r="I1221" s="733"/>
      <c r="J1221" s="1015"/>
      <c r="K1221" s="733"/>
      <c r="L1221" s="734"/>
      <c r="M1221" s="735"/>
      <c r="N1221" s="1532" t="s">
        <v>124</v>
      </c>
      <c r="O1221" s="1534" t="str">
        <f>IF(O1218&gt;G1209/L1201,"OVER","INSIDE")</f>
        <v>INSIDE</v>
      </c>
      <c r="P1221" s="1535"/>
      <c r="Q1221" s="424"/>
      <c r="R1221" s="419"/>
      <c r="S1221" s="419"/>
      <c r="T1221" s="419"/>
    </row>
    <row r="1222" spans="2:20" ht="19.5" customHeight="1" thickBot="1">
      <c r="B1222" s="1259"/>
      <c r="C1222" s="1259"/>
      <c r="D1222" s="1257"/>
      <c r="E1222" s="758"/>
      <c r="F1222" s="759"/>
      <c r="G1222" s="759"/>
      <c r="H1222" s="760"/>
      <c r="I1222" s="761"/>
      <c r="J1222" s="1016"/>
      <c r="K1222" s="761"/>
      <c r="L1222" s="762"/>
      <c r="M1222" s="763"/>
      <c r="N1222" s="1533"/>
      <c r="O1222" s="1536"/>
      <c r="P1222" s="1537"/>
      <c r="Q1222" s="424"/>
      <c r="R1222" s="419"/>
      <c r="S1222" s="419"/>
      <c r="T1222" s="419"/>
    </row>
    <row r="1223" spans="2:20" ht="19.5" customHeight="1">
      <c r="B1223" s="1259" t="s">
        <v>299</v>
      </c>
      <c r="C1223" s="1259" t="s">
        <v>400</v>
      </c>
      <c r="D1223" s="1257" t="s">
        <v>266</v>
      </c>
      <c r="E1223" s="746"/>
      <c r="F1223" s="728" t="s">
        <v>455</v>
      </c>
      <c r="G1223" s="1204">
        <f>LEN(LEFT('記入シート'!C613,L1223))</f>
        <v>0</v>
      </c>
      <c r="H1223" s="1205"/>
      <c r="I1223" s="729" t="s">
        <v>452</v>
      </c>
      <c r="J1223" s="1538" t="s">
        <v>352</v>
      </c>
      <c r="K1223" s="1562">
        <f ca="1">CELL("row",'記入シート'!C613)</f>
        <v>613</v>
      </c>
      <c r="L1223" s="1552">
        <f>$L$49</f>
        <v>6</v>
      </c>
      <c r="M1223" s="1540">
        <f>M1201</f>
        <v>129</v>
      </c>
      <c r="N1223" s="1543" t="s">
        <v>484</v>
      </c>
      <c r="O1223" s="1521">
        <f>SUM(G1223:H1226)</f>
        <v>0</v>
      </c>
      <c r="P1223" s="1522" t="s">
        <v>452</v>
      </c>
      <c r="Q1223" s="1548">
        <f>IF(O1226=0,REPT("　",O1228*L1223),CONCATENATE(LEFT('記入シート'!C613,L1223),REPT("　",G1224),LEFT('記入シート'!C614,L1223),REPT("　",G1226),REPT("　",L1223*O1231)))</f>
      </c>
      <c r="R1223" s="419"/>
      <c r="S1223" s="419"/>
      <c r="T1223" s="419"/>
    </row>
    <row r="1224" spans="2:20" ht="19.5" customHeight="1">
      <c r="B1224" s="1259"/>
      <c r="C1224" s="1259"/>
      <c r="D1224" s="1257"/>
      <c r="E1224" s="713" t="s">
        <v>402</v>
      </c>
      <c r="F1224" s="709" t="s">
        <v>458</v>
      </c>
      <c r="G1224" s="1226">
        <f>IF(G1223=0,0,$L$49-G1223)</f>
        <v>0</v>
      </c>
      <c r="H1224" s="1227"/>
      <c r="I1224" s="696" t="s">
        <v>452</v>
      </c>
      <c r="J1224" s="1297"/>
      <c r="K1224" s="1563"/>
      <c r="L1224" s="1278"/>
      <c r="M1224" s="1301"/>
      <c r="N1224" s="1544"/>
      <c r="O1224" s="1546"/>
      <c r="P1224" s="1287"/>
      <c r="Q1224" s="1549"/>
      <c r="R1224" s="419"/>
      <c r="S1224" s="419"/>
      <c r="T1224" s="419"/>
    </row>
    <row r="1225" spans="2:20" ht="19.5" customHeight="1">
      <c r="B1225" s="1259"/>
      <c r="C1225" s="1259"/>
      <c r="D1225" s="1257"/>
      <c r="E1225" s="713" t="s">
        <v>307</v>
      </c>
      <c r="F1225" s="709" t="s">
        <v>456</v>
      </c>
      <c r="G1225" s="1226">
        <f>LEN(LEFT('記入シート'!C614,L1223))</f>
        <v>0</v>
      </c>
      <c r="H1225" s="1227"/>
      <c r="I1225" s="696" t="s">
        <v>452</v>
      </c>
      <c r="J1225" s="1550" t="s">
        <v>352</v>
      </c>
      <c r="K1225" s="1530">
        <f ca="1">CELL("row",'記入シート'!C614)</f>
        <v>614</v>
      </c>
      <c r="L1225" s="1278"/>
      <c r="M1225" s="1301"/>
      <c r="N1225" s="1545"/>
      <c r="O1225" s="1295"/>
      <c r="P1225" s="1288"/>
      <c r="Q1225" s="424"/>
      <c r="R1225" s="419"/>
      <c r="S1225" s="419"/>
      <c r="T1225" s="419"/>
    </row>
    <row r="1226" spans="2:20" ht="19.5" customHeight="1">
      <c r="B1226" s="1259"/>
      <c r="C1226" s="1259"/>
      <c r="D1226" s="1257"/>
      <c r="E1226" s="713"/>
      <c r="F1226" s="708" t="s">
        <v>459</v>
      </c>
      <c r="G1226" s="1226">
        <f>IF(G1225=0,0,$L$49-G1225)</f>
        <v>0</v>
      </c>
      <c r="H1226" s="1227"/>
      <c r="I1226" s="681" t="s">
        <v>452</v>
      </c>
      <c r="J1226" s="1551"/>
      <c r="K1226" s="1531"/>
      <c r="L1226" s="1553"/>
      <c r="M1226" s="1301"/>
      <c r="N1226" s="1523" t="s">
        <v>479</v>
      </c>
      <c r="O1226" s="1294">
        <f>O1223/$L$49</f>
        <v>0</v>
      </c>
      <c r="P1226" s="1296" t="s">
        <v>453</v>
      </c>
      <c r="Q1226" s="424"/>
      <c r="R1226" s="419"/>
      <c r="S1226" s="419"/>
      <c r="T1226" s="419"/>
    </row>
    <row r="1227" spans="2:20" ht="19.5" customHeight="1">
      <c r="B1227" s="1259"/>
      <c r="C1227" s="1259"/>
      <c r="D1227" s="1257"/>
      <c r="E1227" s="732"/>
      <c r="F1227" s="730"/>
      <c r="G1227" s="730"/>
      <c r="H1227" s="731"/>
      <c r="I1227" s="733"/>
      <c r="J1227" s="1015"/>
      <c r="K1227" s="733"/>
      <c r="L1227" s="734"/>
      <c r="M1227" s="734"/>
      <c r="N1227" s="1547"/>
      <c r="O1227" s="1546"/>
      <c r="P1227" s="1287"/>
      <c r="Q1227" s="424"/>
      <c r="R1227" s="419"/>
      <c r="S1227" s="419"/>
      <c r="T1227" s="419"/>
    </row>
    <row r="1228" spans="2:20" ht="19.5" customHeight="1">
      <c r="B1228" s="1259"/>
      <c r="C1228" s="1259"/>
      <c r="D1228" s="1257"/>
      <c r="E1228" s="732"/>
      <c r="F1228" s="736"/>
      <c r="G1228" s="736"/>
      <c r="H1228" s="737"/>
      <c r="I1228" s="738"/>
      <c r="J1228" s="1017"/>
      <c r="K1228" s="738"/>
      <c r="L1228" s="740"/>
      <c r="M1228" s="740"/>
      <c r="N1228" s="1523" t="s">
        <v>483</v>
      </c>
      <c r="O1228" s="1294">
        <f>MAX(G1206,O1218,O1226)</f>
        <v>0</v>
      </c>
      <c r="P1228" s="1296" t="s">
        <v>453</v>
      </c>
      <c r="Q1228" s="424"/>
      <c r="R1228" s="419"/>
      <c r="S1228" s="419"/>
      <c r="T1228" s="419"/>
    </row>
    <row r="1229" spans="2:20" ht="19.5" customHeight="1">
      <c r="B1229" s="1259"/>
      <c r="C1229" s="1259"/>
      <c r="D1229" s="1257"/>
      <c r="E1229" s="732"/>
      <c r="F1229" s="736"/>
      <c r="G1229" s="736"/>
      <c r="H1229" s="737"/>
      <c r="I1229" s="738"/>
      <c r="J1229" s="1017"/>
      <c r="K1229" s="738"/>
      <c r="L1229" s="740"/>
      <c r="M1229" s="740"/>
      <c r="N1229" s="1547"/>
      <c r="O1229" s="1546"/>
      <c r="P1229" s="1287"/>
      <c r="Q1229" s="424"/>
      <c r="R1229" s="419"/>
      <c r="S1229" s="419"/>
      <c r="T1229" s="419"/>
    </row>
    <row r="1230" spans="2:20" ht="19.5" customHeight="1">
      <c r="B1230" s="1259"/>
      <c r="C1230" s="1259"/>
      <c r="D1230" s="1257"/>
      <c r="E1230" s="732"/>
      <c r="F1230" s="736"/>
      <c r="G1230" s="736"/>
      <c r="H1230" s="737"/>
      <c r="I1230" s="738"/>
      <c r="J1230" s="1017"/>
      <c r="K1230" s="738"/>
      <c r="L1230" s="740"/>
      <c r="M1230" s="740"/>
      <c r="N1230" s="1529"/>
      <c r="O1230" s="1295"/>
      <c r="P1230" s="1288"/>
      <c r="Q1230" s="424"/>
      <c r="R1230" s="419"/>
      <c r="S1230" s="419"/>
      <c r="T1230" s="419"/>
    </row>
    <row r="1231" spans="2:20" ht="19.5" customHeight="1">
      <c r="B1231" s="1259"/>
      <c r="C1231" s="1259"/>
      <c r="D1231" s="1257"/>
      <c r="E1231" s="732"/>
      <c r="F1231" s="736"/>
      <c r="G1231" s="736"/>
      <c r="H1231" s="737"/>
      <c r="I1231" s="738"/>
      <c r="J1231" s="1017"/>
      <c r="K1231" s="738"/>
      <c r="L1231" s="740"/>
      <c r="M1231" s="740"/>
      <c r="N1231" s="716" t="s">
        <v>485</v>
      </c>
      <c r="O1231" s="689">
        <f>O1228-O1226</f>
        <v>0</v>
      </c>
      <c r="P1231" s="704" t="s">
        <v>453</v>
      </c>
      <c r="Q1231" s="424"/>
      <c r="R1231" s="419"/>
      <c r="S1231" s="419"/>
      <c r="T1231" s="419"/>
    </row>
    <row r="1232" spans="2:20" ht="19.5" customHeight="1">
      <c r="B1232" s="1259"/>
      <c r="C1232" s="1259"/>
      <c r="D1232" s="1257"/>
      <c r="E1232" s="732"/>
      <c r="F1232" s="736"/>
      <c r="G1232" s="736"/>
      <c r="H1232" s="737"/>
      <c r="I1232" s="738"/>
      <c r="J1232" s="1017"/>
      <c r="K1232" s="738"/>
      <c r="L1232" s="740"/>
      <c r="M1232" s="740"/>
      <c r="N1232" s="1532" t="s">
        <v>125</v>
      </c>
      <c r="O1232" s="1534" t="str">
        <f>IF(O1226&gt;G1209/L1201,"OVER","INSIDE")</f>
        <v>INSIDE</v>
      </c>
      <c r="P1232" s="1535"/>
      <c r="Q1232" s="424"/>
      <c r="R1232" s="419"/>
      <c r="S1232" s="419"/>
      <c r="T1232" s="419"/>
    </row>
    <row r="1233" spans="2:20" ht="19.5" customHeight="1" thickBot="1">
      <c r="B1233" s="1259"/>
      <c r="C1233" s="1259"/>
      <c r="D1233" s="1257"/>
      <c r="E1233" s="732"/>
      <c r="F1233" s="736"/>
      <c r="G1233" s="736"/>
      <c r="H1233" s="737"/>
      <c r="I1233" s="738"/>
      <c r="J1233" s="1017"/>
      <c r="K1233" s="738"/>
      <c r="L1233" s="740"/>
      <c r="M1233" s="740"/>
      <c r="N1233" s="1533"/>
      <c r="O1233" s="1536"/>
      <c r="P1233" s="1537"/>
      <c r="Q1233" s="424"/>
      <c r="R1233" s="419"/>
      <c r="S1233" s="419"/>
      <c r="T1233" s="419"/>
    </row>
    <row r="1234" spans="2:20" ht="19.5" customHeight="1">
      <c r="B1234" s="1259" t="s">
        <v>299</v>
      </c>
      <c r="C1234" s="1259" t="s">
        <v>400</v>
      </c>
      <c r="D1234" s="1257" t="s">
        <v>266</v>
      </c>
      <c r="E1234" s="746"/>
      <c r="F1234" s="742" t="s">
        <v>1</v>
      </c>
      <c r="G1234" s="1204">
        <f>LEN(LEFT('記入シート'!D617,2))</f>
        <v>0</v>
      </c>
      <c r="H1234" s="1205"/>
      <c r="I1234" s="729" t="s">
        <v>452</v>
      </c>
      <c r="J1234" s="1538" t="s">
        <v>353</v>
      </c>
      <c r="K1234" s="1542">
        <f ca="1">CELL("row",'記入シート'!D617)</f>
        <v>617</v>
      </c>
      <c r="L1234" s="1539">
        <v>2</v>
      </c>
      <c r="M1234" s="1540">
        <f>M1201</f>
        <v>129</v>
      </c>
      <c r="N1234" s="1541" t="s">
        <v>8</v>
      </c>
      <c r="O1234" s="1521">
        <f>IF(G1234=0,0,1)</f>
        <v>0</v>
      </c>
      <c r="P1234" s="1522" t="s">
        <v>453</v>
      </c>
      <c r="Q1234" s="503" t="s">
        <v>6</v>
      </c>
      <c r="R1234" s="419"/>
      <c r="S1234" s="419"/>
      <c r="T1234" s="419"/>
    </row>
    <row r="1235" spans="2:20" ht="19.5" customHeight="1">
      <c r="B1235" s="1259"/>
      <c r="C1235" s="1259"/>
      <c r="D1235" s="1257"/>
      <c r="E1235" s="713"/>
      <c r="F1235" s="709" t="s">
        <v>2</v>
      </c>
      <c r="G1235" s="1226">
        <f>$L$58-G1234</f>
        <v>2</v>
      </c>
      <c r="H1235" s="1227"/>
      <c r="I1235" s="696" t="s">
        <v>452</v>
      </c>
      <c r="J1235" s="1297"/>
      <c r="K1235" s="1531"/>
      <c r="L1235" s="1299"/>
      <c r="M1235" s="1302"/>
      <c r="N1235" s="1526"/>
      <c r="O1235" s="1295"/>
      <c r="P1235" s="1288"/>
      <c r="Q1235" s="986">
        <f>IF(G1212="OVER","",IF(G1205=0,"",IF(O1234=0,REPT("　",5*O1236),CONCATENATE(REPT("　",G1235),LEFT('記入シート'!D617,L1234),"／",REPT("　",G1237),LEFT('記入シート'!G617,L1236),REPT("　",5*O1236)))))</f>
      </c>
      <c r="R1235" s="419"/>
      <c r="S1235" s="419"/>
      <c r="T1235" s="419"/>
    </row>
    <row r="1236" spans="2:20" ht="19.5" customHeight="1">
      <c r="B1236" s="1259"/>
      <c r="C1236" s="1259"/>
      <c r="D1236" s="1257"/>
      <c r="E1236" s="713"/>
      <c r="F1236" s="709" t="s">
        <v>3</v>
      </c>
      <c r="G1236" s="1226">
        <f>LEN(LEFT('記入シート'!G617,2))</f>
        <v>0</v>
      </c>
      <c r="H1236" s="1227"/>
      <c r="I1236" s="696" t="s">
        <v>452</v>
      </c>
      <c r="J1236" s="1297" t="s">
        <v>354</v>
      </c>
      <c r="K1236" s="1530">
        <f ca="1">CELL("row",'記入シート'!G617)</f>
        <v>617</v>
      </c>
      <c r="L1236" s="1299">
        <v>2</v>
      </c>
      <c r="M1236" s="1301">
        <f>M1201</f>
        <v>129</v>
      </c>
      <c r="N1236" s="743" t="s">
        <v>9</v>
      </c>
      <c r="O1236" s="744">
        <f>IF(O1228=0,0,O1228-O1234)</f>
        <v>0</v>
      </c>
      <c r="P1236" s="715" t="s">
        <v>453</v>
      </c>
      <c r="Q1236" s="987"/>
      <c r="R1236" s="419"/>
      <c r="S1236" s="419"/>
      <c r="T1236" s="419"/>
    </row>
    <row r="1237" spans="2:20" ht="19.5" customHeight="1">
      <c r="B1237" s="1259"/>
      <c r="C1237" s="1259"/>
      <c r="D1237" s="1257"/>
      <c r="E1237" s="713" t="s">
        <v>403</v>
      </c>
      <c r="F1237" s="709" t="s">
        <v>461</v>
      </c>
      <c r="G1237" s="1226">
        <f>$L$60-G1236</f>
        <v>2</v>
      </c>
      <c r="H1237" s="1227"/>
      <c r="I1237" s="696" t="s">
        <v>452</v>
      </c>
      <c r="J1237" s="1297"/>
      <c r="K1237" s="1531"/>
      <c r="L1237" s="1299"/>
      <c r="M1237" s="1301"/>
      <c r="N1237" s="688"/>
      <c r="O1237" s="689"/>
      <c r="P1237" s="690"/>
      <c r="Q1237" s="988"/>
      <c r="R1237" s="419"/>
      <c r="S1237" s="419"/>
      <c r="T1237" s="419"/>
    </row>
    <row r="1238" spans="2:20" ht="19.5" customHeight="1">
      <c r="B1238" s="1259"/>
      <c r="C1238" s="1259"/>
      <c r="D1238" s="1257"/>
      <c r="E1238" s="713" t="s">
        <v>307</v>
      </c>
      <c r="F1238" s="709" t="s">
        <v>4</v>
      </c>
      <c r="G1238" s="1226">
        <f>LEN(LEFT('記入シート'!N617,2))</f>
        <v>0</v>
      </c>
      <c r="H1238" s="1227"/>
      <c r="I1238" s="696" t="s">
        <v>452</v>
      </c>
      <c r="J1238" s="1297" t="s">
        <v>355</v>
      </c>
      <c r="K1238" s="1530">
        <f ca="1">CELL("row",'記入シート'!N617)</f>
        <v>617</v>
      </c>
      <c r="L1238" s="1299">
        <v>2</v>
      </c>
      <c r="M1238" s="1301">
        <f>M1201</f>
        <v>129</v>
      </c>
      <c r="N1238" s="1525" t="s">
        <v>178</v>
      </c>
      <c r="O1238" s="1294">
        <f>IF(G1238=0,0,1)</f>
        <v>0</v>
      </c>
      <c r="P1238" s="1296" t="s">
        <v>453</v>
      </c>
      <c r="Q1238" s="503" t="s">
        <v>7</v>
      </c>
      <c r="R1238" s="419"/>
      <c r="S1238" s="419"/>
      <c r="T1238" s="419"/>
    </row>
    <row r="1239" spans="2:20" ht="19.5" customHeight="1">
      <c r="B1239" s="1259"/>
      <c r="C1239" s="1259"/>
      <c r="D1239" s="1257"/>
      <c r="E1239" s="713"/>
      <c r="F1239" s="709" t="s">
        <v>5</v>
      </c>
      <c r="G1239" s="1226">
        <f>$L$62-G1238</f>
        <v>2</v>
      </c>
      <c r="H1239" s="1227"/>
      <c r="I1239" s="696" t="s">
        <v>452</v>
      </c>
      <c r="J1239" s="1297"/>
      <c r="K1239" s="1531"/>
      <c r="L1239" s="1299"/>
      <c r="M1239" s="1301"/>
      <c r="N1239" s="1526"/>
      <c r="O1239" s="1295"/>
      <c r="P1239" s="1288"/>
      <c r="Q1239" s="986">
        <f>IF(G1212="OVER","",IF(G1205=0,"",IF(O1238=0,REPT("　",5*O1240),CONCATENATE(REPT("　",G1239),LEFT('記入シート'!N617,L1238),"／",REPT("　",G1241),LEFT('記入シート'!Q617,L1240),REPT("　",5*O1240)))))</f>
      </c>
      <c r="R1239" s="419"/>
      <c r="S1239" s="419"/>
      <c r="T1239" s="419"/>
    </row>
    <row r="1240" spans="2:20" ht="19.5" customHeight="1">
      <c r="B1240" s="1259"/>
      <c r="C1240" s="1259"/>
      <c r="D1240" s="1257"/>
      <c r="E1240" s="713"/>
      <c r="F1240" s="709" t="s">
        <v>462</v>
      </c>
      <c r="G1240" s="1226">
        <f>LEN(LEFT('記入シート'!Q617,2))</f>
        <v>0</v>
      </c>
      <c r="H1240" s="1227"/>
      <c r="I1240" s="696" t="s">
        <v>452</v>
      </c>
      <c r="J1240" s="1297" t="s">
        <v>356</v>
      </c>
      <c r="K1240" s="1530">
        <f ca="1">CELL("row",'記入シート'!Q617)</f>
        <v>617</v>
      </c>
      <c r="L1240" s="1299">
        <v>2</v>
      </c>
      <c r="M1240" s="1301">
        <f>M1201</f>
        <v>129</v>
      </c>
      <c r="N1240" s="743" t="s">
        <v>179</v>
      </c>
      <c r="O1240" s="744">
        <f>IF(O1228=0,0,O1228-O1238)</f>
        <v>0</v>
      </c>
      <c r="P1240" s="715" t="s">
        <v>453</v>
      </c>
      <c r="Q1240" s="987"/>
      <c r="R1240" s="419"/>
      <c r="S1240" s="419"/>
      <c r="T1240" s="419"/>
    </row>
    <row r="1241" spans="2:20" ht="19.5" customHeight="1" thickBot="1">
      <c r="B1241" s="1259"/>
      <c r="C1241" s="1259"/>
      <c r="D1241" s="1257"/>
      <c r="E1241" s="745"/>
      <c r="F1241" s="709" t="s">
        <v>463</v>
      </c>
      <c r="G1241" s="1231">
        <f>$L$64-G1240</f>
        <v>2</v>
      </c>
      <c r="H1241" s="1232"/>
      <c r="I1241" s="696" t="s">
        <v>452</v>
      </c>
      <c r="J1241" s="1298"/>
      <c r="K1241" s="1570"/>
      <c r="L1241" s="1300"/>
      <c r="M1241" s="1302"/>
      <c r="N1241" s="688"/>
      <c r="O1241" s="689"/>
      <c r="P1241" s="690"/>
      <c r="Q1241" s="989"/>
      <c r="R1241" s="419"/>
      <c r="S1241" s="419"/>
      <c r="T1241" s="419"/>
    </row>
    <row r="1242" spans="2:20" ht="19.5" customHeight="1">
      <c r="B1242" s="1259"/>
      <c r="C1242" s="1259"/>
      <c r="D1242" s="1257" t="s">
        <v>266</v>
      </c>
      <c r="E1242" s="746" t="s">
        <v>404</v>
      </c>
      <c r="F1242" s="728" t="s">
        <v>420</v>
      </c>
      <c r="G1242" s="1204">
        <f>LEN(LEFT('記入シート'!C620,L1242))</f>
        <v>0</v>
      </c>
      <c r="H1242" s="1205"/>
      <c r="I1242" s="729" t="s">
        <v>452</v>
      </c>
      <c r="J1242" s="1274" t="s">
        <v>352</v>
      </c>
      <c r="K1242" s="1562">
        <f ca="1">CELL("row",'記入シート'!C620)</f>
        <v>620</v>
      </c>
      <c r="L1242" s="1552">
        <f>$L$66</f>
        <v>1</v>
      </c>
      <c r="M1242" s="1517">
        <f>M1201</f>
        <v>129</v>
      </c>
      <c r="N1242" s="1541" t="s">
        <v>10</v>
      </c>
      <c r="O1242" s="1521">
        <f>IF(G1242=0,0,1)</f>
        <v>0</v>
      </c>
      <c r="P1242" s="1522" t="s">
        <v>453</v>
      </c>
      <c r="Q1242" s="639">
        <f>IF(G1212="OVER","",IF(G1203=0,"",CONCATENATE(LEFT('記入シート'!C620,1),REPT("　",O1244))))</f>
      </c>
      <c r="R1242" s="419"/>
      <c r="S1242" s="419"/>
      <c r="T1242" s="419"/>
    </row>
    <row r="1243" spans="2:20" ht="19.5" customHeight="1">
      <c r="B1243" s="1259"/>
      <c r="C1243" s="1259"/>
      <c r="D1243" s="1257"/>
      <c r="E1243" s="713" t="s">
        <v>307</v>
      </c>
      <c r="F1243" s="709" t="s">
        <v>460</v>
      </c>
      <c r="G1243" s="1226">
        <f>$L$66-G1242</f>
        <v>1</v>
      </c>
      <c r="H1243" s="1227"/>
      <c r="I1243" s="696" t="s">
        <v>452</v>
      </c>
      <c r="J1243" s="1275"/>
      <c r="K1243" s="1563"/>
      <c r="L1243" s="1278"/>
      <c r="M1243" s="1284"/>
      <c r="N1243" s="1526"/>
      <c r="O1243" s="1295"/>
      <c r="P1243" s="1288"/>
      <c r="Q1243" s="424"/>
      <c r="R1243" s="419"/>
      <c r="S1243" s="419"/>
      <c r="T1243" s="419"/>
    </row>
    <row r="1244" spans="2:20" ht="19.5" customHeight="1" thickBot="1">
      <c r="B1244" s="1260"/>
      <c r="C1244" s="1260"/>
      <c r="D1244" s="1258"/>
      <c r="E1244" s="768"/>
      <c r="F1244" s="748" t="s">
        <v>158</v>
      </c>
      <c r="G1244" s="749" t="s">
        <v>159</v>
      </c>
      <c r="H1244" s="798">
        <f>WIDECHAR('記入シート'!C620)</f>
      </c>
      <c r="I1244" s="750" t="s">
        <v>160</v>
      </c>
      <c r="J1244" s="1561"/>
      <c r="K1244" s="1567"/>
      <c r="L1244" s="1564"/>
      <c r="M1244" s="1565"/>
      <c r="N1244" s="765" t="s">
        <v>486</v>
      </c>
      <c r="O1244" s="766">
        <f>IF(O1228=0,0,O1228-O1242)</f>
        <v>0</v>
      </c>
      <c r="P1244" s="767" t="s">
        <v>453</v>
      </c>
      <c r="Q1244" s="462"/>
      <c r="R1244" s="463"/>
      <c r="S1244" s="463"/>
      <c r="T1244" s="463"/>
    </row>
    <row r="1245" spans="2:20" ht="19.5" customHeight="1" thickTop="1">
      <c r="B1245" s="1261" t="s">
        <v>300</v>
      </c>
      <c r="C1245" s="1261" t="s">
        <v>400</v>
      </c>
      <c r="D1245" s="1282" t="s">
        <v>98</v>
      </c>
      <c r="E1245" s="945" t="s">
        <v>437</v>
      </c>
      <c r="F1245" s="941"/>
      <c r="G1245" s="1559">
        <f>IF(G1201-G1208-O1201*L1201&lt;0,0,G1201-G1208-O1201*L1201)</f>
        <v>2451</v>
      </c>
      <c r="H1245" s="1560"/>
      <c r="I1245" s="941" t="s">
        <v>452</v>
      </c>
      <c r="J1245" s="1274" t="s">
        <v>352</v>
      </c>
      <c r="K1245" s="1562">
        <f ca="1">CELL("row",'記入シート'!C625)</f>
        <v>625</v>
      </c>
      <c r="L1245" s="1277">
        <f>$L$32</f>
        <v>19</v>
      </c>
      <c r="M1245" s="1283">
        <f>IF(G1253/L1245&lt;0,0,G1253/L1245)</f>
        <v>129</v>
      </c>
      <c r="N1245" s="1558" t="s">
        <v>144</v>
      </c>
      <c r="O1245" s="1555">
        <f>O1272-G1250</f>
        <v>0</v>
      </c>
      <c r="P1245" s="1286" t="s">
        <v>453</v>
      </c>
      <c r="Q1245" s="1263">
        <f>IF(G1249=0,REPT("　",O1245*L1245),CONCATENATE("④　",'記入シート'!C625,REPT("　",O1245*L1245+ABS(G1251))))</f>
      </c>
      <c r="R1245" s="1264"/>
      <c r="S1245" s="1264"/>
      <c r="T1245" s="1265"/>
    </row>
    <row r="1246" spans="2:20" ht="19.5" customHeight="1">
      <c r="B1246" s="1259"/>
      <c r="C1246" s="1259"/>
      <c r="D1246" s="1257"/>
      <c r="E1246" s="946" t="s">
        <v>137</v>
      </c>
      <c r="F1246" s="936"/>
      <c r="G1246" s="1289">
        <f>IF(G1245&gt;2,G1245-2,0)</f>
        <v>2449</v>
      </c>
      <c r="H1246" s="1290"/>
      <c r="I1246" s="936" t="s">
        <v>452</v>
      </c>
      <c r="J1246" s="1275"/>
      <c r="K1246" s="1563"/>
      <c r="L1246" s="1278"/>
      <c r="M1246" s="1284"/>
      <c r="N1246" s="1547"/>
      <c r="O1246" s="1546"/>
      <c r="P1246" s="1287"/>
      <c r="Q1246" s="1266"/>
      <c r="R1246" s="1267"/>
      <c r="S1246" s="1267"/>
      <c r="T1246" s="1268"/>
    </row>
    <row r="1247" spans="2:20" ht="19.5" customHeight="1">
      <c r="B1247" s="1259"/>
      <c r="C1247" s="1259"/>
      <c r="D1247" s="1257"/>
      <c r="E1247" s="946" t="s">
        <v>152</v>
      </c>
      <c r="F1247" s="936"/>
      <c r="G1247" s="1289">
        <f>LEN('記入シート'!C625)</f>
        <v>0</v>
      </c>
      <c r="H1247" s="1290"/>
      <c r="I1247" s="938" t="s">
        <v>452</v>
      </c>
      <c r="J1247" s="1275"/>
      <c r="K1247" s="1563"/>
      <c r="L1247" s="1278"/>
      <c r="M1247" s="1284"/>
      <c r="N1247" s="1529"/>
      <c r="O1247" s="1295"/>
      <c r="P1247" s="1288"/>
      <c r="Q1247" s="1266"/>
      <c r="R1247" s="1267"/>
      <c r="S1247" s="1267"/>
      <c r="T1247" s="1268"/>
    </row>
    <row r="1248" spans="2:20" ht="19.5" customHeight="1">
      <c r="B1248" s="1259"/>
      <c r="C1248" s="1259"/>
      <c r="D1248" s="1257"/>
      <c r="E1248" s="946" t="s">
        <v>167</v>
      </c>
      <c r="F1248" s="936"/>
      <c r="G1248" s="1291" t="str">
        <f>IF(G1247&gt;G1246,"OVER","INSIDE")</f>
        <v>INSIDE</v>
      </c>
      <c r="H1248" s="1292"/>
      <c r="I1248" s="1293"/>
      <c r="J1248" s="1275"/>
      <c r="K1248" s="1563"/>
      <c r="L1248" s="1278"/>
      <c r="M1248" s="1284"/>
      <c r="N1248" s="706"/>
      <c r="O1248" s="689"/>
      <c r="P1248" s="690"/>
      <c r="Q1248" s="1266"/>
      <c r="R1248" s="1267"/>
      <c r="S1248" s="1267"/>
      <c r="T1248" s="1268"/>
    </row>
    <row r="1249" spans="2:20" ht="19.5" customHeight="1">
      <c r="B1249" s="1259"/>
      <c r="C1249" s="1259"/>
      <c r="D1249" s="1257"/>
      <c r="E1249" s="703" t="s">
        <v>156</v>
      </c>
      <c r="F1249" s="677"/>
      <c r="G1249" s="1226">
        <f>IF(G1247=0,0,IF(G1248="OVER",0,G1247+2))</f>
        <v>0</v>
      </c>
      <c r="H1249" s="1227"/>
      <c r="I1249" s="681" t="s">
        <v>452</v>
      </c>
      <c r="J1249" s="1275"/>
      <c r="K1249" s="1563"/>
      <c r="L1249" s="1278"/>
      <c r="M1249" s="1284"/>
      <c r="N1249" s="706"/>
      <c r="O1249" s="689"/>
      <c r="P1249" s="690"/>
      <c r="Q1249" s="1266"/>
      <c r="R1249" s="1267"/>
      <c r="S1249" s="1267"/>
      <c r="T1249" s="1268"/>
    </row>
    <row r="1250" spans="2:20" ht="19.5" customHeight="1">
      <c r="B1250" s="1259"/>
      <c r="C1250" s="1259"/>
      <c r="D1250" s="1257"/>
      <c r="E1250" s="707" t="s">
        <v>451</v>
      </c>
      <c r="F1250" s="708"/>
      <c r="G1250" s="1226">
        <f>ROUNDUP(G1249/L1245,0)</f>
        <v>0</v>
      </c>
      <c r="H1250" s="1227"/>
      <c r="I1250" s="681" t="s">
        <v>453</v>
      </c>
      <c r="J1250" s="1275"/>
      <c r="K1250" s="1563"/>
      <c r="L1250" s="1278"/>
      <c r="M1250" s="1284"/>
      <c r="N1250" s="706"/>
      <c r="O1250" s="689"/>
      <c r="P1250" s="690"/>
      <c r="Q1250" s="1266"/>
      <c r="R1250" s="1267"/>
      <c r="S1250" s="1267"/>
      <c r="T1250" s="1268"/>
    </row>
    <row r="1251" spans="2:20" ht="19.5" customHeight="1">
      <c r="B1251" s="1259"/>
      <c r="C1251" s="1259"/>
      <c r="D1251" s="1257"/>
      <c r="E1251" s="707" t="s">
        <v>419</v>
      </c>
      <c r="F1251" s="708"/>
      <c r="G1251" s="1226">
        <f>G1249-G1250*L1245</f>
        <v>0</v>
      </c>
      <c r="H1251" s="1227"/>
      <c r="I1251" s="681" t="s">
        <v>452</v>
      </c>
      <c r="J1251" s="1275"/>
      <c r="K1251" s="1563"/>
      <c r="L1251" s="1278"/>
      <c r="M1251" s="1284"/>
      <c r="N1251" s="706"/>
      <c r="O1251" s="689"/>
      <c r="P1251" s="690"/>
      <c r="Q1251" s="1266"/>
      <c r="R1251" s="1267"/>
      <c r="S1251" s="1267"/>
      <c r="T1251" s="1268"/>
    </row>
    <row r="1252" spans="2:20" ht="19.5" customHeight="1" thickBot="1">
      <c r="B1252" s="1259"/>
      <c r="C1252" s="1280"/>
      <c r="D1252" s="1281"/>
      <c r="E1252" s="884" t="s">
        <v>423</v>
      </c>
      <c r="F1252" s="709"/>
      <c r="G1252" s="1224">
        <f>G1250*L1245</f>
        <v>0</v>
      </c>
      <c r="H1252" s="1225"/>
      <c r="I1252" s="696" t="s">
        <v>452</v>
      </c>
      <c r="J1252" s="1275"/>
      <c r="K1252" s="1563"/>
      <c r="L1252" s="1278"/>
      <c r="M1252" s="1284"/>
      <c r="N1252" s="706"/>
      <c r="O1252" s="689"/>
      <c r="P1252" s="690"/>
      <c r="Q1252" s="1266"/>
      <c r="R1252" s="1267"/>
      <c r="S1252" s="1267"/>
      <c r="T1252" s="1268"/>
    </row>
    <row r="1253" spans="2:20" ht="19.5" customHeight="1">
      <c r="B1253" s="1259" t="s">
        <v>300</v>
      </c>
      <c r="C1253" s="1273" t="s">
        <v>332</v>
      </c>
      <c r="D1253" s="1272" t="s">
        <v>267</v>
      </c>
      <c r="E1253" s="702" t="s">
        <v>437</v>
      </c>
      <c r="F1253" s="693"/>
      <c r="G1253" s="1204">
        <f>IF(G1209-G1208-O1201*L1201&lt;0,0,G1209-G1208-O1201*L1201)</f>
        <v>2451</v>
      </c>
      <c r="H1253" s="1205"/>
      <c r="I1253" s="693" t="s">
        <v>452</v>
      </c>
      <c r="J1253" s="1275"/>
      <c r="K1253" s="1563"/>
      <c r="L1253" s="1278"/>
      <c r="M1253" s="1284"/>
      <c r="N1253" s="706"/>
      <c r="O1253" s="689"/>
      <c r="P1253" s="690"/>
      <c r="Q1253" s="1266"/>
      <c r="R1253" s="1267"/>
      <c r="S1253" s="1267"/>
      <c r="T1253" s="1268"/>
    </row>
    <row r="1254" spans="2:20" ht="19.5" customHeight="1">
      <c r="B1254" s="1259"/>
      <c r="C1254" s="1259"/>
      <c r="D1254" s="1257"/>
      <c r="E1254" s="771" t="s">
        <v>137</v>
      </c>
      <c r="F1254" s="681"/>
      <c r="G1254" s="1206">
        <f>IF(G1253&gt;2,G1253-2,0)</f>
        <v>2449</v>
      </c>
      <c r="H1254" s="1207"/>
      <c r="I1254" s="796" t="s">
        <v>452</v>
      </c>
      <c r="J1254" s="1275"/>
      <c r="K1254" s="1563"/>
      <c r="L1254" s="1278"/>
      <c r="M1254" s="1284"/>
      <c r="N1254" s="706"/>
      <c r="O1254" s="689"/>
      <c r="P1254" s="690"/>
      <c r="Q1254" s="1266"/>
      <c r="R1254" s="1267"/>
      <c r="S1254" s="1267"/>
      <c r="T1254" s="1268"/>
    </row>
    <row r="1255" spans="2:20" ht="19.5" customHeight="1">
      <c r="B1255" s="1259"/>
      <c r="C1255" s="1259"/>
      <c r="D1255" s="1257"/>
      <c r="E1255" s="703" t="s">
        <v>152</v>
      </c>
      <c r="F1255" s="677"/>
      <c r="G1255" s="1226">
        <f>LEN('記入シート'!C625)</f>
        <v>0</v>
      </c>
      <c r="H1255" s="1227"/>
      <c r="I1255" s="681" t="s">
        <v>452</v>
      </c>
      <c r="J1255" s="1275"/>
      <c r="K1255" s="1563"/>
      <c r="L1255" s="1278"/>
      <c r="M1255" s="1284"/>
      <c r="N1255" s="706"/>
      <c r="O1255" s="689"/>
      <c r="P1255" s="690"/>
      <c r="Q1255" s="1266"/>
      <c r="R1255" s="1267"/>
      <c r="S1255" s="1267"/>
      <c r="T1255" s="1268"/>
    </row>
    <row r="1256" spans="2:20" ht="19.5" customHeight="1" thickBot="1">
      <c r="B1256" s="1259"/>
      <c r="C1256" s="1280"/>
      <c r="D1256" s="1281"/>
      <c r="E1256" s="944" t="s">
        <v>167</v>
      </c>
      <c r="F1256" s="932"/>
      <c r="G1256" s="1236" t="str">
        <f>IF(G1255&gt;G1254,"OVER","INSIDE")</f>
        <v>INSIDE</v>
      </c>
      <c r="H1256" s="1237"/>
      <c r="I1256" s="1238"/>
      <c r="J1256" s="1276"/>
      <c r="K1256" s="1573"/>
      <c r="L1256" s="1279"/>
      <c r="M1256" s="1285"/>
      <c r="N1256" s="710"/>
      <c r="O1256" s="698"/>
      <c r="P1256" s="699"/>
      <c r="Q1256" s="1269"/>
      <c r="R1256" s="1270"/>
      <c r="S1256" s="1270"/>
      <c r="T1256" s="1271"/>
    </row>
    <row r="1257" spans="2:20" ht="19.5" customHeight="1">
      <c r="B1257" s="1259" t="s">
        <v>300</v>
      </c>
      <c r="C1257" s="1273" t="s">
        <v>400</v>
      </c>
      <c r="D1257" s="1272" t="s">
        <v>267</v>
      </c>
      <c r="E1257" s="713"/>
      <c r="F1257" s="885" t="s">
        <v>455</v>
      </c>
      <c r="G1257" s="1454">
        <f>LEN(LEFT('記入シート'!C629,L1257))</f>
        <v>0</v>
      </c>
      <c r="H1257" s="1455"/>
      <c r="I1257" s="755" t="s">
        <v>452</v>
      </c>
      <c r="J1257" s="1551" t="s">
        <v>352</v>
      </c>
      <c r="K1257" s="1460">
        <f ca="1">CELL("row",'記入シート'!C629)</f>
        <v>629</v>
      </c>
      <c r="L1257" s="1278">
        <f>$L$40</f>
        <v>6</v>
      </c>
      <c r="M1257" s="1284">
        <f>M1245</f>
        <v>129</v>
      </c>
      <c r="N1257" s="1544" t="s">
        <v>474</v>
      </c>
      <c r="O1257" s="1546">
        <f>SUM(G1257:H1264)</f>
        <v>0</v>
      </c>
      <c r="P1257" s="1556" t="s">
        <v>452</v>
      </c>
      <c r="Q1257" s="1554">
        <f>IF(O1262=0,REPT("　",O1272*L1257),CONCATENATE(LEFT('記入シート'!C629,L1257),REPT("　",G1258),LEFT('記入シート'!C630,L1257),REPT("　",G1260),LEFT('記入シート'!C631,L1257),REPT("　",G1262),LEFT('記入シート'!C632,L1257),REPT("　",G1264),REPT("　",L1257*O1264)))</f>
      </c>
      <c r="R1257" s="313"/>
      <c r="S1257" s="313"/>
      <c r="T1257" s="313"/>
    </row>
    <row r="1258" spans="2:20" ht="19.5" customHeight="1">
      <c r="B1258" s="1259"/>
      <c r="C1258" s="1259"/>
      <c r="D1258" s="1257"/>
      <c r="E1258" s="713"/>
      <c r="F1258" s="711" t="s">
        <v>458</v>
      </c>
      <c r="G1258" s="1226">
        <f>IF(G1257=0,0,L1257-G1257)</f>
        <v>0</v>
      </c>
      <c r="H1258" s="1227"/>
      <c r="I1258" s="696" t="s">
        <v>452</v>
      </c>
      <c r="J1258" s="1297"/>
      <c r="K1258" s="1253"/>
      <c r="L1258" s="1278"/>
      <c r="M1258" s="1284"/>
      <c r="N1258" s="1544"/>
      <c r="O1258" s="1546"/>
      <c r="P1258" s="1556"/>
      <c r="Q1258" s="1554"/>
      <c r="R1258" s="313"/>
      <c r="S1258" s="313"/>
      <c r="T1258" s="313"/>
    </row>
    <row r="1259" spans="2:20" ht="19.5" customHeight="1">
      <c r="B1259" s="1259"/>
      <c r="C1259" s="1259"/>
      <c r="D1259" s="1257"/>
      <c r="E1259" s="713"/>
      <c r="F1259" s="711" t="s">
        <v>456</v>
      </c>
      <c r="G1259" s="1226">
        <f>LEN(LEFT('記入シート'!C630,L1257))</f>
        <v>0</v>
      </c>
      <c r="H1259" s="1227"/>
      <c r="I1259" s="696" t="s">
        <v>452</v>
      </c>
      <c r="J1259" s="1297" t="s">
        <v>352</v>
      </c>
      <c r="K1259" s="1253">
        <f ca="1">CELL("row",'記入シート'!C630)</f>
        <v>630</v>
      </c>
      <c r="L1259" s="1278"/>
      <c r="M1259" s="1284"/>
      <c r="N1259" s="1544"/>
      <c r="O1259" s="1546"/>
      <c r="P1259" s="1556"/>
      <c r="Q1259" s="1554"/>
      <c r="R1259" s="313"/>
      <c r="S1259" s="313"/>
      <c r="T1259" s="313"/>
    </row>
    <row r="1260" spans="2:20" ht="19.5" customHeight="1">
      <c r="B1260" s="1259"/>
      <c r="C1260" s="1259"/>
      <c r="D1260" s="1257"/>
      <c r="E1260" s="713" t="s">
        <v>401</v>
      </c>
      <c r="F1260" s="711" t="s">
        <v>459</v>
      </c>
      <c r="G1260" s="1226">
        <f>IF(G1259=0,0,L1257-G1259)</f>
        <v>0</v>
      </c>
      <c r="H1260" s="1227"/>
      <c r="I1260" s="696" t="s">
        <v>452</v>
      </c>
      <c r="J1260" s="1297"/>
      <c r="K1260" s="1253"/>
      <c r="L1260" s="1278"/>
      <c r="M1260" s="1284"/>
      <c r="N1260" s="1544"/>
      <c r="O1260" s="1546"/>
      <c r="P1260" s="1556"/>
      <c r="Q1260" s="1549"/>
      <c r="R1260" s="313"/>
      <c r="S1260" s="313"/>
      <c r="T1260" s="313"/>
    </row>
    <row r="1261" spans="2:20" ht="19.5" customHeight="1">
      <c r="B1261" s="1259"/>
      <c r="C1261" s="1259"/>
      <c r="D1261" s="1257"/>
      <c r="E1261" s="713" t="s">
        <v>308</v>
      </c>
      <c r="F1261" s="714" t="s">
        <v>475</v>
      </c>
      <c r="G1261" s="1226">
        <f>LEN(LEFT('記入シート'!C631,L1257))</f>
        <v>0</v>
      </c>
      <c r="H1261" s="1227"/>
      <c r="I1261" s="696" t="s">
        <v>452</v>
      </c>
      <c r="J1261" s="1550" t="s">
        <v>352</v>
      </c>
      <c r="K1261" s="1253">
        <f ca="1">CELL("row",'記入シート'!C631)</f>
        <v>631</v>
      </c>
      <c r="L1261" s="1278"/>
      <c r="M1261" s="1284"/>
      <c r="N1261" s="1545"/>
      <c r="O1261" s="1295"/>
      <c r="P1261" s="1557"/>
      <c r="Q1261" s="320"/>
      <c r="R1261" s="313"/>
      <c r="S1261" s="313"/>
      <c r="T1261" s="313"/>
    </row>
    <row r="1262" spans="2:20" ht="19.5" customHeight="1">
      <c r="B1262" s="1259"/>
      <c r="C1262" s="1259"/>
      <c r="D1262" s="1257"/>
      <c r="E1262" s="713"/>
      <c r="F1262" s="714" t="s">
        <v>476</v>
      </c>
      <c r="G1262" s="1226">
        <f>IF(G1261=0,0,L1257-G1261)</f>
        <v>0</v>
      </c>
      <c r="H1262" s="1227"/>
      <c r="I1262" s="696" t="s">
        <v>452</v>
      </c>
      <c r="J1262" s="1551"/>
      <c r="K1262" s="1253"/>
      <c r="L1262" s="1278"/>
      <c r="M1262" s="1284"/>
      <c r="N1262" s="1523" t="s">
        <v>480</v>
      </c>
      <c r="O1262" s="1294">
        <f>O1257/$L$40</f>
        <v>0</v>
      </c>
      <c r="P1262" s="1296" t="s">
        <v>453</v>
      </c>
      <c r="Q1262" s="320"/>
      <c r="R1262" s="313"/>
      <c r="S1262" s="313"/>
      <c r="T1262" s="313"/>
    </row>
    <row r="1263" spans="2:20" ht="19.5" customHeight="1">
      <c r="B1263" s="1259"/>
      <c r="C1263" s="1259"/>
      <c r="D1263" s="1257"/>
      <c r="E1263" s="713"/>
      <c r="F1263" s="714" t="s">
        <v>477</v>
      </c>
      <c r="G1263" s="1226">
        <f>LEN(LEFT('記入シート'!C632,L1257))</f>
        <v>0</v>
      </c>
      <c r="H1263" s="1227"/>
      <c r="I1263" s="696" t="s">
        <v>452</v>
      </c>
      <c r="J1263" s="1550" t="s">
        <v>352</v>
      </c>
      <c r="K1263" s="1253">
        <f ca="1">CELL("row",'記入シート'!C632)</f>
        <v>632</v>
      </c>
      <c r="L1263" s="1278"/>
      <c r="M1263" s="1284"/>
      <c r="N1263" s="1529"/>
      <c r="O1263" s="1295"/>
      <c r="P1263" s="1288"/>
      <c r="Q1263" s="995"/>
      <c r="R1263" s="313"/>
      <c r="S1263" s="313"/>
      <c r="T1263" s="313"/>
    </row>
    <row r="1264" spans="2:20" ht="19.5" customHeight="1">
      <c r="B1264" s="1259"/>
      <c r="C1264" s="1259"/>
      <c r="D1264" s="1257"/>
      <c r="E1264" s="713"/>
      <c r="F1264" s="714" t="s">
        <v>478</v>
      </c>
      <c r="G1264" s="1226">
        <f>IF(G1263=0,0,L1257-G1263)</f>
        <v>0</v>
      </c>
      <c r="H1264" s="1227"/>
      <c r="I1264" s="681" t="s">
        <v>452</v>
      </c>
      <c r="J1264" s="1551"/>
      <c r="K1264" s="1253"/>
      <c r="L1264" s="1553"/>
      <c r="M1264" s="1518"/>
      <c r="N1264" s="716" t="s">
        <v>252</v>
      </c>
      <c r="O1264" s="783">
        <f>O1272-O1262</f>
        <v>0</v>
      </c>
      <c r="P1264" s="717" t="s">
        <v>453</v>
      </c>
      <c r="Q1264" s="995"/>
      <c r="R1264" s="313"/>
      <c r="S1264" s="313"/>
      <c r="T1264" s="313"/>
    </row>
    <row r="1265" spans="2:20" ht="19.5" customHeight="1">
      <c r="B1265" s="1259"/>
      <c r="C1265" s="1259"/>
      <c r="D1265" s="1257"/>
      <c r="E1265" s="732"/>
      <c r="F1265" s="736"/>
      <c r="G1265" s="736"/>
      <c r="H1265" s="737"/>
      <c r="I1265" s="738"/>
      <c r="J1265" s="1015"/>
      <c r="K1265" s="733"/>
      <c r="L1265" s="740"/>
      <c r="M1265" s="741"/>
      <c r="N1265" s="1532" t="s">
        <v>124</v>
      </c>
      <c r="O1265" s="1534" t="str">
        <f>IF(O1262&gt;G1253/L1245,"OVER","INSIDE")</f>
        <v>INSIDE</v>
      </c>
      <c r="P1265" s="1535"/>
      <c r="Q1265" s="424"/>
      <c r="R1265" s="419"/>
      <c r="S1265" s="419"/>
      <c r="T1265" s="419"/>
    </row>
    <row r="1266" spans="2:20" ht="19.5" customHeight="1" thickBot="1">
      <c r="B1266" s="1259"/>
      <c r="C1266" s="1259"/>
      <c r="D1266" s="1257"/>
      <c r="E1266" s="758"/>
      <c r="F1266" s="759"/>
      <c r="G1266" s="759"/>
      <c r="H1266" s="760"/>
      <c r="I1266" s="761"/>
      <c r="J1266" s="1016"/>
      <c r="K1266" s="761"/>
      <c r="L1266" s="762"/>
      <c r="M1266" s="763"/>
      <c r="N1266" s="1533"/>
      <c r="O1266" s="1536"/>
      <c r="P1266" s="1537"/>
      <c r="Q1266" s="424"/>
      <c r="R1266" s="419"/>
      <c r="S1266" s="419"/>
      <c r="T1266" s="419"/>
    </row>
    <row r="1267" spans="2:20" ht="19.5" customHeight="1">
      <c r="B1267" s="1259" t="s">
        <v>300</v>
      </c>
      <c r="C1267" s="1259" t="s">
        <v>400</v>
      </c>
      <c r="D1267" s="1257" t="s">
        <v>267</v>
      </c>
      <c r="E1267" s="746"/>
      <c r="F1267" s="728" t="s">
        <v>455</v>
      </c>
      <c r="G1267" s="1204">
        <f>LEN(LEFT('記入シート'!C635,L1267))</f>
        <v>0</v>
      </c>
      <c r="H1267" s="1205"/>
      <c r="I1267" s="729" t="s">
        <v>452</v>
      </c>
      <c r="J1267" s="1538" t="s">
        <v>352</v>
      </c>
      <c r="K1267" s="1562">
        <f ca="1">CELL("row",'記入シート'!C635)</f>
        <v>635</v>
      </c>
      <c r="L1267" s="1552">
        <f>$L$49</f>
        <v>6</v>
      </c>
      <c r="M1267" s="1540">
        <f>M1245</f>
        <v>129</v>
      </c>
      <c r="N1267" s="1543" t="s">
        <v>484</v>
      </c>
      <c r="O1267" s="1521">
        <f>SUM(G1267:H1270)</f>
        <v>0</v>
      </c>
      <c r="P1267" s="1522" t="s">
        <v>452</v>
      </c>
      <c r="Q1267" s="1548">
        <f>IF(O1270=0,REPT("　",O1272*L1267),CONCATENATE(LEFT('記入シート'!C635,L1267),REPT("　",G1268),LEFT('記入シート'!C636,L1267),REPT("　",G1270),REPT("　",L1267*O1275)))</f>
      </c>
      <c r="R1267" s="419"/>
      <c r="S1267" s="419"/>
      <c r="T1267" s="419"/>
    </row>
    <row r="1268" spans="2:20" ht="19.5" customHeight="1">
      <c r="B1268" s="1259"/>
      <c r="C1268" s="1259"/>
      <c r="D1268" s="1257"/>
      <c r="E1268" s="713" t="s">
        <v>402</v>
      </c>
      <c r="F1268" s="709" t="s">
        <v>458</v>
      </c>
      <c r="G1268" s="1226">
        <f>IF(G1267=0,0,L1267-G1267)</f>
        <v>0</v>
      </c>
      <c r="H1268" s="1227"/>
      <c r="I1268" s="696" t="s">
        <v>452</v>
      </c>
      <c r="J1268" s="1297"/>
      <c r="K1268" s="1563"/>
      <c r="L1268" s="1278"/>
      <c r="M1268" s="1301"/>
      <c r="N1268" s="1544"/>
      <c r="O1268" s="1546"/>
      <c r="P1268" s="1287"/>
      <c r="Q1268" s="1549"/>
      <c r="R1268" s="419"/>
      <c r="S1268" s="419"/>
      <c r="T1268" s="419"/>
    </row>
    <row r="1269" spans="2:20" ht="19.5" customHeight="1">
      <c r="B1269" s="1259"/>
      <c r="C1269" s="1259"/>
      <c r="D1269" s="1257"/>
      <c r="E1269" s="713" t="s">
        <v>308</v>
      </c>
      <c r="F1269" s="709" t="s">
        <v>456</v>
      </c>
      <c r="G1269" s="1226">
        <f>LEN(LEFT('記入シート'!C636,L1267))</f>
        <v>0</v>
      </c>
      <c r="H1269" s="1227"/>
      <c r="I1269" s="696" t="s">
        <v>452</v>
      </c>
      <c r="J1269" s="1550" t="s">
        <v>352</v>
      </c>
      <c r="K1269" s="1530">
        <f ca="1">CELL("row",'記入シート'!C636)</f>
        <v>636</v>
      </c>
      <c r="L1269" s="1278"/>
      <c r="M1269" s="1301"/>
      <c r="N1269" s="1545"/>
      <c r="O1269" s="1295"/>
      <c r="P1269" s="1288"/>
      <c r="Q1269" s="424"/>
      <c r="R1269" s="419"/>
      <c r="S1269" s="419"/>
      <c r="T1269" s="419"/>
    </row>
    <row r="1270" spans="2:20" ht="19.5" customHeight="1">
      <c r="B1270" s="1259"/>
      <c r="C1270" s="1259"/>
      <c r="D1270" s="1257"/>
      <c r="E1270" s="713"/>
      <c r="F1270" s="708" t="s">
        <v>459</v>
      </c>
      <c r="G1270" s="1226">
        <f>IF(G1269=0,0,L1267-G1269)</f>
        <v>0</v>
      </c>
      <c r="H1270" s="1227"/>
      <c r="I1270" s="681" t="s">
        <v>452</v>
      </c>
      <c r="J1270" s="1551"/>
      <c r="K1270" s="1531"/>
      <c r="L1270" s="1553"/>
      <c r="M1270" s="1301"/>
      <c r="N1270" s="1523" t="s">
        <v>479</v>
      </c>
      <c r="O1270" s="1294">
        <f>O1267/$L$49</f>
        <v>0</v>
      </c>
      <c r="P1270" s="1296" t="s">
        <v>453</v>
      </c>
      <c r="Q1270" s="424"/>
      <c r="R1270" s="419"/>
      <c r="S1270" s="419"/>
      <c r="T1270" s="419"/>
    </row>
    <row r="1271" spans="2:20" ht="19.5" customHeight="1">
      <c r="B1271" s="1259"/>
      <c r="C1271" s="1259"/>
      <c r="D1271" s="1257"/>
      <c r="E1271" s="732"/>
      <c r="F1271" s="730"/>
      <c r="G1271" s="730"/>
      <c r="H1271" s="731"/>
      <c r="I1271" s="733"/>
      <c r="J1271" s="1015"/>
      <c r="K1271" s="733"/>
      <c r="L1271" s="734"/>
      <c r="M1271" s="734"/>
      <c r="N1271" s="1547"/>
      <c r="O1271" s="1546"/>
      <c r="P1271" s="1287"/>
      <c r="Q1271" s="424"/>
      <c r="R1271" s="419"/>
      <c r="S1271" s="419"/>
      <c r="T1271" s="419"/>
    </row>
    <row r="1272" spans="2:20" ht="19.5" customHeight="1">
      <c r="B1272" s="1259"/>
      <c r="C1272" s="1259"/>
      <c r="D1272" s="1257"/>
      <c r="E1272" s="732"/>
      <c r="F1272" s="736"/>
      <c r="G1272" s="736"/>
      <c r="H1272" s="737"/>
      <c r="I1272" s="738"/>
      <c r="J1272" s="1017"/>
      <c r="K1272" s="738"/>
      <c r="L1272" s="740"/>
      <c r="M1272" s="740"/>
      <c r="N1272" s="1523" t="s">
        <v>483</v>
      </c>
      <c r="O1272" s="1294">
        <f>MAX(G1250,O1262,O1270)</f>
        <v>0</v>
      </c>
      <c r="P1272" s="1296" t="s">
        <v>453</v>
      </c>
      <c r="Q1272" s="424"/>
      <c r="R1272" s="419"/>
      <c r="S1272" s="419"/>
      <c r="T1272" s="419"/>
    </row>
    <row r="1273" spans="2:20" ht="19.5" customHeight="1">
      <c r="B1273" s="1259"/>
      <c r="C1273" s="1259"/>
      <c r="D1273" s="1257"/>
      <c r="E1273" s="732"/>
      <c r="F1273" s="736"/>
      <c r="G1273" s="736"/>
      <c r="H1273" s="737"/>
      <c r="I1273" s="738"/>
      <c r="J1273" s="1017"/>
      <c r="K1273" s="738"/>
      <c r="L1273" s="740"/>
      <c r="M1273" s="740"/>
      <c r="N1273" s="1547"/>
      <c r="O1273" s="1546"/>
      <c r="P1273" s="1287"/>
      <c r="Q1273" s="424"/>
      <c r="R1273" s="419"/>
      <c r="S1273" s="419"/>
      <c r="T1273" s="419"/>
    </row>
    <row r="1274" spans="2:20" ht="19.5" customHeight="1">
      <c r="B1274" s="1259"/>
      <c r="C1274" s="1259"/>
      <c r="D1274" s="1257"/>
      <c r="E1274" s="732"/>
      <c r="F1274" s="736"/>
      <c r="G1274" s="736"/>
      <c r="H1274" s="737"/>
      <c r="I1274" s="738"/>
      <c r="J1274" s="1017"/>
      <c r="K1274" s="738"/>
      <c r="L1274" s="740"/>
      <c r="M1274" s="740"/>
      <c r="N1274" s="1529"/>
      <c r="O1274" s="1295"/>
      <c r="P1274" s="1288"/>
      <c r="Q1274" s="424"/>
      <c r="R1274" s="419"/>
      <c r="S1274" s="419"/>
      <c r="T1274" s="419"/>
    </row>
    <row r="1275" spans="2:20" ht="19.5" customHeight="1">
      <c r="B1275" s="1259"/>
      <c r="C1275" s="1259"/>
      <c r="D1275" s="1257"/>
      <c r="E1275" s="732"/>
      <c r="F1275" s="736"/>
      <c r="G1275" s="736"/>
      <c r="H1275" s="737"/>
      <c r="I1275" s="738"/>
      <c r="J1275" s="1017"/>
      <c r="K1275" s="738"/>
      <c r="L1275" s="740"/>
      <c r="M1275" s="740"/>
      <c r="N1275" s="716" t="s">
        <v>145</v>
      </c>
      <c r="O1275" s="783">
        <f>O1272-O1270</f>
        <v>0</v>
      </c>
      <c r="P1275" s="717" t="s">
        <v>453</v>
      </c>
      <c r="Q1275" s="424"/>
      <c r="R1275" s="419"/>
      <c r="S1275" s="419"/>
      <c r="T1275" s="419"/>
    </row>
    <row r="1276" spans="2:20" ht="19.5" customHeight="1">
      <c r="B1276" s="1259"/>
      <c r="C1276" s="1259"/>
      <c r="D1276" s="1257"/>
      <c r="E1276" s="732"/>
      <c r="F1276" s="736"/>
      <c r="G1276" s="736"/>
      <c r="H1276" s="737"/>
      <c r="I1276" s="738"/>
      <c r="J1276" s="1017"/>
      <c r="K1276" s="738"/>
      <c r="L1276" s="740"/>
      <c r="M1276" s="740"/>
      <c r="N1276" s="1532" t="s">
        <v>125</v>
      </c>
      <c r="O1276" s="1534" t="str">
        <f>IF(O1270&gt;G1253/L1245,"OVER","INSIDE")</f>
        <v>INSIDE</v>
      </c>
      <c r="P1276" s="1535"/>
      <c r="Q1276" s="424"/>
      <c r="R1276" s="419"/>
      <c r="S1276" s="419"/>
      <c r="T1276" s="419"/>
    </row>
    <row r="1277" spans="2:20" ht="19.5" customHeight="1" thickBot="1">
      <c r="B1277" s="1259"/>
      <c r="C1277" s="1259"/>
      <c r="D1277" s="1257"/>
      <c r="E1277" s="732"/>
      <c r="F1277" s="736"/>
      <c r="G1277" s="736"/>
      <c r="H1277" s="737"/>
      <c r="I1277" s="738"/>
      <c r="J1277" s="1017"/>
      <c r="K1277" s="738"/>
      <c r="L1277" s="740"/>
      <c r="M1277" s="740"/>
      <c r="N1277" s="1533"/>
      <c r="O1277" s="1536"/>
      <c r="P1277" s="1537"/>
      <c r="Q1277" s="424"/>
      <c r="R1277" s="419"/>
      <c r="S1277" s="419"/>
      <c r="T1277" s="419"/>
    </row>
    <row r="1278" spans="2:20" ht="19.5" customHeight="1">
      <c r="B1278" s="1259" t="s">
        <v>300</v>
      </c>
      <c r="C1278" s="1259" t="s">
        <v>400</v>
      </c>
      <c r="D1278" s="1257" t="s">
        <v>267</v>
      </c>
      <c r="E1278" s="746"/>
      <c r="F1278" s="742" t="s">
        <v>1</v>
      </c>
      <c r="G1278" s="1204">
        <f>LEN(LEFT('記入シート'!D639,2))</f>
        <v>0</v>
      </c>
      <c r="H1278" s="1205"/>
      <c r="I1278" s="729" t="s">
        <v>452</v>
      </c>
      <c r="J1278" s="1538" t="s">
        <v>353</v>
      </c>
      <c r="K1278" s="1542">
        <f ca="1">CELL("row",'記入シート'!D639)</f>
        <v>639</v>
      </c>
      <c r="L1278" s="1539">
        <v>2</v>
      </c>
      <c r="M1278" s="1540">
        <f>M1245</f>
        <v>129</v>
      </c>
      <c r="N1278" s="1541" t="s">
        <v>8</v>
      </c>
      <c r="O1278" s="1521">
        <f>IF(G1278=0,0,1)</f>
        <v>0</v>
      </c>
      <c r="P1278" s="1522" t="s">
        <v>453</v>
      </c>
      <c r="Q1278" s="503" t="s">
        <v>6</v>
      </c>
      <c r="R1278" s="419"/>
      <c r="S1278" s="419"/>
      <c r="T1278" s="419"/>
    </row>
    <row r="1279" spans="2:20" ht="19.5" customHeight="1">
      <c r="B1279" s="1259"/>
      <c r="C1279" s="1259"/>
      <c r="D1279" s="1257"/>
      <c r="E1279" s="713"/>
      <c r="F1279" s="709" t="s">
        <v>2</v>
      </c>
      <c r="G1279" s="1226">
        <f>L1278-G1278</f>
        <v>2</v>
      </c>
      <c r="H1279" s="1227"/>
      <c r="I1279" s="696" t="s">
        <v>452</v>
      </c>
      <c r="J1279" s="1297"/>
      <c r="K1279" s="1531"/>
      <c r="L1279" s="1299"/>
      <c r="M1279" s="1302"/>
      <c r="N1279" s="1526"/>
      <c r="O1279" s="1295"/>
      <c r="P1279" s="1288"/>
      <c r="Q1279" s="986">
        <f>IF(G1256="OVER","",IF(G1249=0,"",IF(O1278=0,REPT("　",5*O1280),CONCATENATE(REPT("　",G1279),LEFT('記入シート'!D639,L1278),"／",REPT("　",G1281),LEFT('記入シート'!G639,L1280),REPT("　",5*O1280)))))</f>
      </c>
      <c r="R1279" s="419"/>
      <c r="S1279" s="419"/>
      <c r="T1279" s="419"/>
    </row>
    <row r="1280" spans="2:20" ht="19.5" customHeight="1">
      <c r="B1280" s="1259"/>
      <c r="C1280" s="1259"/>
      <c r="D1280" s="1257"/>
      <c r="E1280" s="713"/>
      <c r="F1280" s="709" t="s">
        <v>3</v>
      </c>
      <c r="G1280" s="1226">
        <f>LEN(LEFT('記入シート'!G639,2))</f>
        <v>0</v>
      </c>
      <c r="H1280" s="1227"/>
      <c r="I1280" s="696" t="s">
        <v>452</v>
      </c>
      <c r="J1280" s="1297" t="s">
        <v>354</v>
      </c>
      <c r="K1280" s="1530">
        <f ca="1">CELL("row",'記入シート'!G639)</f>
        <v>639</v>
      </c>
      <c r="L1280" s="1299">
        <v>2</v>
      </c>
      <c r="M1280" s="1301">
        <f>M1245</f>
        <v>129</v>
      </c>
      <c r="N1280" s="1523" t="s">
        <v>240</v>
      </c>
      <c r="O1280" s="1294">
        <f>O1272-O1278</f>
        <v>0</v>
      </c>
      <c r="P1280" s="1296" t="s">
        <v>453</v>
      </c>
      <c r="Q1280" s="987"/>
      <c r="R1280" s="419"/>
      <c r="S1280" s="419"/>
      <c r="T1280" s="419"/>
    </row>
    <row r="1281" spans="2:20" ht="19.5" customHeight="1">
      <c r="B1281" s="1259"/>
      <c r="C1281" s="1259"/>
      <c r="D1281" s="1257"/>
      <c r="E1281" s="713" t="s">
        <v>403</v>
      </c>
      <c r="F1281" s="709" t="s">
        <v>461</v>
      </c>
      <c r="G1281" s="1226">
        <f>L1280-G1280</f>
        <v>2</v>
      </c>
      <c r="H1281" s="1227"/>
      <c r="I1281" s="696" t="s">
        <v>452</v>
      </c>
      <c r="J1281" s="1297"/>
      <c r="K1281" s="1531"/>
      <c r="L1281" s="1299"/>
      <c r="M1281" s="1301"/>
      <c r="N1281" s="1529"/>
      <c r="O1281" s="1295"/>
      <c r="P1281" s="1288"/>
      <c r="Q1281" s="988"/>
      <c r="R1281" s="419"/>
      <c r="S1281" s="419"/>
      <c r="T1281" s="419"/>
    </row>
    <row r="1282" spans="2:20" ht="19.5" customHeight="1">
      <c r="B1282" s="1259"/>
      <c r="C1282" s="1259"/>
      <c r="D1282" s="1257"/>
      <c r="E1282" s="713" t="s">
        <v>308</v>
      </c>
      <c r="F1282" s="709" t="s">
        <v>4</v>
      </c>
      <c r="G1282" s="1226">
        <f>LEN(LEFT('記入シート'!N639,2))</f>
        <v>0</v>
      </c>
      <c r="H1282" s="1227"/>
      <c r="I1282" s="696" t="s">
        <v>452</v>
      </c>
      <c r="J1282" s="1297" t="s">
        <v>355</v>
      </c>
      <c r="K1282" s="1530">
        <f ca="1">CELL("row",'記入シート'!N639)</f>
        <v>639</v>
      </c>
      <c r="L1282" s="1299">
        <v>2</v>
      </c>
      <c r="M1282" s="1301">
        <f>M1245</f>
        <v>129</v>
      </c>
      <c r="N1282" s="1525" t="s">
        <v>178</v>
      </c>
      <c r="O1282" s="1294">
        <f>IF(G1282=0,0,1)</f>
        <v>0</v>
      </c>
      <c r="P1282" s="1296" t="s">
        <v>453</v>
      </c>
      <c r="Q1282" s="503" t="s">
        <v>7</v>
      </c>
      <c r="R1282" s="419"/>
      <c r="S1282" s="419"/>
      <c r="T1282" s="419"/>
    </row>
    <row r="1283" spans="2:20" ht="19.5" customHeight="1">
      <c r="B1283" s="1259"/>
      <c r="C1283" s="1259"/>
      <c r="D1283" s="1257"/>
      <c r="E1283" s="713"/>
      <c r="F1283" s="709" t="s">
        <v>5</v>
      </c>
      <c r="G1283" s="1226">
        <f>L1282-G1282</f>
        <v>2</v>
      </c>
      <c r="H1283" s="1227"/>
      <c r="I1283" s="696" t="s">
        <v>452</v>
      </c>
      <c r="J1283" s="1297"/>
      <c r="K1283" s="1531"/>
      <c r="L1283" s="1299"/>
      <c r="M1283" s="1301"/>
      <c r="N1283" s="1526"/>
      <c r="O1283" s="1295"/>
      <c r="P1283" s="1288"/>
      <c r="Q1283" s="986">
        <f>IF(G1256="OVER","",IF(G1249=0,"",IF(O1282=0,REPT("　",5*O1284),CONCATENATE(REPT("　",G1283),LEFT('記入シート'!N639,L1282),"／",REPT("　",G1285),LEFT('記入シート'!Q639,L1284),REPT("　",5*O1284)))))</f>
      </c>
      <c r="R1283" s="419"/>
      <c r="S1283" s="419"/>
      <c r="T1283" s="419"/>
    </row>
    <row r="1284" spans="2:20" ht="19.5" customHeight="1">
      <c r="B1284" s="1259"/>
      <c r="C1284" s="1259"/>
      <c r="D1284" s="1257"/>
      <c r="E1284" s="713"/>
      <c r="F1284" s="709" t="s">
        <v>462</v>
      </c>
      <c r="G1284" s="1226">
        <f>LEN(LEFT('記入シート'!Q639,2))</f>
        <v>0</v>
      </c>
      <c r="H1284" s="1227"/>
      <c r="I1284" s="696" t="s">
        <v>452</v>
      </c>
      <c r="J1284" s="1297" t="s">
        <v>356</v>
      </c>
      <c r="K1284" s="1530">
        <f ca="1">CELL("row",'記入シート'!Q639)</f>
        <v>639</v>
      </c>
      <c r="L1284" s="1299">
        <v>2</v>
      </c>
      <c r="M1284" s="1301">
        <f>M1245</f>
        <v>129</v>
      </c>
      <c r="N1284" s="1523" t="s">
        <v>180</v>
      </c>
      <c r="O1284" s="1294">
        <f>O1272-O1282</f>
        <v>0</v>
      </c>
      <c r="P1284" s="1296" t="s">
        <v>453</v>
      </c>
      <c r="Q1284" s="987"/>
      <c r="R1284" s="419"/>
      <c r="S1284" s="419"/>
      <c r="T1284" s="419"/>
    </row>
    <row r="1285" spans="2:20" ht="19.5" customHeight="1" thickBot="1">
      <c r="B1285" s="1259"/>
      <c r="C1285" s="1259"/>
      <c r="D1285" s="1257"/>
      <c r="E1285" s="745"/>
      <c r="F1285" s="709" t="s">
        <v>463</v>
      </c>
      <c r="G1285" s="1231">
        <f>L1284-G1284</f>
        <v>2</v>
      </c>
      <c r="H1285" s="1232"/>
      <c r="I1285" s="696" t="s">
        <v>452</v>
      </c>
      <c r="J1285" s="1298"/>
      <c r="K1285" s="1570"/>
      <c r="L1285" s="1300"/>
      <c r="M1285" s="1302"/>
      <c r="N1285" s="1524"/>
      <c r="O1285" s="1527"/>
      <c r="P1285" s="1528"/>
      <c r="Q1285" s="989"/>
      <c r="R1285" s="419"/>
      <c r="S1285" s="419"/>
      <c r="T1285" s="419"/>
    </row>
    <row r="1286" spans="2:106" s="186" customFormat="1" ht="19.5" customHeight="1">
      <c r="B1286" s="1259"/>
      <c r="C1286" s="1259"/>
      <c r="D1286" s="1257" t="s">
        <v>267</v>
      </c>
      <c r="E1286" s="732" t="s">
        <v>404</v>
      </c>
      <c r="F1286" s="791" t="s">
        <v>420</v>
      </c>
      <c r="G1286" s="1204">
        <f>LEN(LEFT('記入シート'!C642,L1286))</f>
        <v>0</v>
      </c>
      <c r="H1286" s="1205"/>
      <c r="I1286" s="729" t="s">
        <v>452</v>
      </c>
      <c r="J1286" s="1274" t="s">
        <v>352</v>
      </c>
      <c r="K1286" s="1562">
        <f ca="1">CELL("row",'記入シート'!C642)</f>
        <v>642</v>
      </c>
      <c r="L1286" s="1552">
        <f>$L$66</f>
        <v>1</v>
      </c>
      <c r="M1286" s="1517">
        <f>M1245</f>
        <v>129</v>
      </c>
      <c r="N1286" s="1519" t="s">
        <v>10</v>
      </c>
      <c r="O1286" s="1521">
        <f>IF(G1286=0,0,1)</f>
        <v>0</v>
      </c>
      <c r="P1286" s="1522" t="s">
        <v>453</v>
      </c>
      <c r="Q1286" s="639">
        <f>IF(G1256="OVER","",IF(G1247=0,"",CONCATENATE(LEFT('記入シート'!C642,1),REPT("　",O1288))))</f>
      </c>
      <c r="R1286" s="419"/>
      <c r="S1286" s="419"/>
      <c r="T1286" s="419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</row>
    <row r="1287" spans="2:20" s="186" customFormat="1" ht="19.5" customHeight="1">
      <c r="B1287" s="1259"/>
      <c r="C1287" s="1259"/>
      <c r="D1287" s="1257"/>
      <c r="E1287" s="732" t="s">
        <v>308</v>
      </c>
      <c r="F1287" s="711" t="s">
        <v>460</v>
      </c>
      <c r="G1287" s="1226">
        <f>L1286-G1286</f>
        <v>1</v>
      </c>
      <c r="H1287" s="1227"/>
      <c r="I1287" s="696" t="s">
        <v>452</v>
      </c>
      <c r="J1287" s="1275"/>
      <c r="K1287" s="1563"/>
      <c r="L1287" s="1278"/>
      <c r="M1287" s="1284"/>
      <c r="N1287" s="1520"/>
      <c r="O1287" s="1295"/>
      <c r="P1287" s="1288"/>
      <c r="Q1287" s="464"/>
      <c r="R1287" s="419"/>
      <c r="S1287" s="419"/>
      <c r="T1287" s="419"/>
    </row>
    <row r="1288" spans="2:106" s="186" customFormat="1" ht="19.5" customHeight="1" thickBot="1">
      <c r="B1288" s="1260"/>
      <c r="C1288" s="1260"/>
      <c r="D1288" s="1258"/>
      <c r="E1288" s="769"/>
      <c r="F1288" s="748" t="s">
        <v>158</v>
      </c>
      <c r="G1288" s="676" t="s">
        <v>159</v>
      </c>
      <c r="H1288" s="788">
        <f>WIDECHAR('記入シート'!C642)</f>
      </c>
      <c r="I1288" s="792" t="s">
        <v>160</v>
      </c>
      <c r="J1288" s="1561"/>
      <c r="K1288" s="1567"/>
      <c r="L1288" s="1553"/>
      <c r="M1288" s="1518"/>
      <c r="N1288" s="784" t="s">
        <v>148</v>
      </c>
      <c r="O1288" s="783">
        <f>O1272-O1286</f>
        <v>0</v>
      </c>
      <c r="P1288" s="717" t="s">
        <v>453</v>
      </c>
      <c r="Q1288" s="465"/>
      <c r="R1288" s="419"/>
      <c r="S1288" s="419"/>
      <c r="T1288" s="419"/>
      <c r="U1288" s="205"/>
      <c r="V1288" s="205"/>
      <c r="W1288" s="205"/>
      <c r="X1288" s="205"/>
      <c r="Y1288" s="205"/>
      <c r="Z1288" s="205"/>
      <c r="AA1288" s="205"/>
      <c r="AB1288" s="205"/>
      <c r="AC1288" s="205"/>
      <c r="AD1288" s="205"/>
      <c r="AE1288" s="205"/>
      <c r="AF1288" s="205"/>
      <c r="AG1288" s="205"/>
      <c r="AH1288" s="205"/>
      <c r="AI1288" s="205"/>
      <c r="AJ1288" s="205"/>
      <c r="AK1288" s="205"/>
      <c r="AL1288" s="205"/>
      <c r="AM1288" s="205"/>
      <c r="AN1288" s="205"/>
      <c r="AO1288" s="205"/>
      <c r="AP1288" s="205"/>
      <c r="AQ1288" s="205"/>
      <c r="AR1288" s="205"/>
      <c r="AS1288" s="205"/>
      <c r="AT1288" s="205"/>
      <c r="AU1288" s="205"/>
      <c r="AV1288" s="205"/>
      <c r="AW1288" s="205"/>
      <c r="AX1288" s="205"/>
      <c r="AY1288" s="205"/>
      <c r="AZ1288" s="205"/>
      <c r="BA1288" s="205"/>
      <c r="BB1288" s="205"/>
      <c r="BC1288" s="205"/>
      <c r="BD1288" s="205"/>
      <c r="BE1288" s="205"/>
      <c r="BF1288" s="205"/>
      <c r="BG1288" s="205"/>
      <c r="BH1288" s="205"/>
      <c r="BI1288" s="205"/>
      <c r="BJ1288" s="205"/>
      <c r="BK1288" s="205"/>
      <c r="BL1288" s="205"/>
      <c r="BM1288" s="205"/>
      <c r="BN1288" s="205"/>
      <c r="BO1288" s="205"/>
      <c r="BP1288" s="205"/>
      <c r="BQ1288" s="205"/>
      <c r="BR1288" s="205"/>
      <c r="BS1288" s="205"/>
      <c r="BT1288" s="205"/>
      <c r="BU1288" s="205"/>
      <c r="BV1288" s="205"/>
      <c r="BW1288" s="205"/>
      <c r="BX1288" s="205"/>
      <c r="BY1288" s="205"/>
      <c r="BZ1288" s="205"/>
      <c r="CA1288" s="205"/>
      <c r="CB1288" s="205"/>
      <c r="CC1288" s="205"/>
      <c r="CD1288" s="205"/>
      <c r="CE1288" s="205"/>
      <c r="CF1288" s="205"/>
      <c r="CG1288" s="205"/>
      <c r="CH1288" s="205"/>
      <c r="CI1288" s="205"/>
      <c r="CJ1288" s="205"/>
      <c r="CK1288" s="205"/>
      <c r="CL1288" s="205"/>
      <c r="CM1288" s="205"/>
      <c r="CN1288" s="205"/>
      <c r="CO1288" s="205"/>
      <c r="CP1288" s="205"/>
      <c r="CQ1288" s="205"/>
      <c r="CR1288" s="205"/>
      <c r="CS1288" s="205"/>
      <c r="CT1288" s="205"/>
      <c r="CU1288" s="205"/>
      <c r="CV1288" s="205"/>
      <c r="CW1288" s="205"/>
      <c r="CX1288" s="205"/>
      <c r="CY1288" s="205"/>
      <c r="CZ1288" s="205"/>
      <c r="DA1288" s="205"/>
      <c r="DB1288" s="205"/>
    </row>
    <row r="1289" spans="2:20" ht="19.5" customHeight="1" thickTop="1">
      <c r="B1289" s="1261" t="s">
        <v>301</v>
      </c>
      <c r="C1289" s="1261" t="s">
        <v>400</v>
      </c>
      <c r="D1289" s="1282" t="s">
        <v>276</v>
      </c>
      <c r="E1289" s="945" t="s">
        <v>437</v>
      </c>
      <c r="F1289" s="936"/>
      <c r="G1289" s="1559">
        <f>IF(G1245-G1252-O1245*L1245&lt;0,0,G1245-G1252-O1245*L1245)</f>
        <v>2451</v>
      </c>
      <c r="H1289" s="1560"/>
      <c r="I1289" s="936" t="s">
        <v>452</v>
      </c>
      <c r="J1289" s="1274" t="s">
        <v>352</v>
      </c>
      <c r="K1289" s="1562">
        <f ca="1">CELL("row",'記入シート'!C647)</f>
        <v>647</v>
      </c>
      <c r="L1289" s="1277">
        <f>$L$32</f>
        <v>19</v>
      </c>
      <c r="M1289" s="1283">
        <f>IF(G1297/L1289&lt;0,0,G1297/L1289)</f>
        <v>129</v>
      </c>
      <c r="N1289" s="1558" t="s">
        <v>144</v>
      </c>
      <c r="O1289" s="1555">
        <f>O1316-G1294</f>
        <v>0</v>
      </c>
      <c r="P1289" s="1286" t="s">
        <v>453</v>
      </c>
      <c r="Q1289" s="1263">
        <f>IF(G1293=0,REPT("　",O1289*L1289),CONCATENATE("⑤　",'記入シート'!C647,REPT("　",O1289*L1289+ABS(G1295))))</f>
      </c>
      <c r="R1289" s="1264"/>
      <c r="S1289" s="1264"/>
      <c r="T1289" s="1265"/>
    </row>
    <row r="1290" spans="2:20" ht="19.5" customHeight="1">
      <c r="B1290" s="1259"/>
      <c r="C1290" s="1259"/>
      <c r="D1290" s="1257"/>
      <c r="E1290" s="946" t="s">
        <v>273</v>
      </c>
      <c r="F1290" s="936"/>
      <c r="G1290" s="1289">
        <f>IF(G1289&gt;2,G1289-2,0)</f>
        <v>2449</v>
      </c>
      <c r="H1290" s="1290"/>
      <c r="I1290" s="936" t="s">
        <v>452</v>
      </c>
      <c r="J1290" s="1275"/>
      <c r="K1290" s="1563"/>
      <c r="L1290" s="1278"/>
      <c r="M1290" s="1284"/>
      <c r="N1290" s="1547"/>
      <c r="O1290" s="1546"/>
      <c r="P1290" s="1287"/>
      <c r="Q1290" s="1266"/>
      <c r="R1290" s="1267"/>
      <c r="S1290" s="1267"/>
      <c r="T1290" s="1268"/>
    </row>
    <row r="1291" spans="2:20" ht="19.5" customHeight="1">
      <c r="B1291" s="1259"/>
      <c r="C1291" s="1259"/>
      <c r="D1291" s="1257"/>
      <c r="E1291" s="946" t="s">
        <v>274</v>
      </c>
      <c r="F1291" s="936"/>
      <c r="G1291" s="1289">
        <f>LEN('記入シート'!C647)</f>
        <v>0</v>
      </c>
      <c r="H1291" s="1290"/>
      <c r="I1291" s="938" t="s">
        <v>452</v>
      </c>
      <c r="J1291" s="1275"/>
      <c r="K1291" s="1563"/>
      <c r="L1291" s="1278"/>
      <c r="M1291" s="1284"/>
      <c r="N1291" s="1529"/>
      <c r="O1291" s="1295"/>
      <c r="P1291" s="1288"/>
      <c r="Q1291" s="1266"/>
      <c r="R1291" s="1267"/>
      <c r="S1291" s="1267"/>
      <c r="T1291" s="1268"/>
    </row>
    <row r="1292" spans="2:20" ht="19.5" customHeight="1">
      <c r="B1292" s="1259"/>
      <c r="C1292" s="1259"/>
      <c r="D1292" s="1257"/>
      <c r="E1292" s="946" t="s">
        <v>167</v>
      </c>
      <c r="F1292" s="936"/>
      <c r="G1292" s="1291" t="str">
        <f>IF(G1291&gt;G1290,"OVER","INSIDE")</f>
        <v>INSIDE</v>
      </c>
      <c r="H1292" s="1292"/>
      <c r="I1292" s="1293"/>
      <c r="J1292" s="1275"/>
      <c r="K1292" s="1563"/>
      <c r="L1292" s="1278"/>
      <c r="M1292" s="1284"/>
      <c r="N1292" s="706"/>
      <c r="O1292" s="689"/>
      <c r="P1292" s="690"/>
      <c r="Q1292" s="1266"/>
      <c r="R1292" s="1267"/>
      <c r="S1292" s="1267"/>
      <c r="T1292" s="1268"/>
    </row>
    <row r="1293" spans="2:20" ht="19.5" customHeight="1">
      <c r="B1293" s="1259"/>
      <c r="C1293" s="1259"/>
      <c r="D1293" s="1257"/>
      <c r="E1293" s="703" t="s">
        <v>275</v>
      </c>
      <c r="F1293" s="677"/>
      <c r="G1293" s="1226">
        <f>IF(G1291=0,0,IF(G1292="OVER",0,G1291+2))</f>
        <v>0</v>
      </c>
      <c r="H1293" s="1227"/>
      <c r="I1293" s="681" t="s">
        <v>452</v>
      </c>
      <c r="J1293" s="1275"/>
      <c r="K1293" s="1563"/>
      <c r="L1293" s="1278"/>
      <c r="M1293" s="1284"/>
      <c r="N1293" s="706"/>
      <c r="O1293" s="689"/>
      <c r="P1293" s="690"/>
      <c r="Q1293" s="1266"/>
      <c r="R1293" s="1267"/>
      <c r="S1293" s="1267"/>
      <c r="T1293" s="1268"/>
    </row>
    <row r="1294" spans="2:20" ht="19.5" customHeight="1">
      <c r="B1294" s="1259"/>
      <c r="C1294" s="1259"/>
      <c r="D1294" s="1257"/>
      <c r="E1294" s="707" t="s">
        <v>451</v>
      </c>
      <c r="F1294" s="708"/>
      <c r="G1294" s="1226">
        <f>ROUNDUP(G1293/L1289,0)</f>
        <v>0</v>
      </c>
      <c r="H1294" s="1227"/>
      <c r="I1294" s="681" t="s">
        <v>453</v>
      </c>
      <c r="J1294" s="1275"/>
      <c r="K1294" s="1563"/>
      <c r="L1294" s="1278"/>
      <c r="M1294" s="1284"/>
      <c r="N1294" s="706"/>
      <c r="O1294" s="689"/>
      <c r="P1294" s="690"/>
      <c r="Q1294" s="1266"/>
      <c r="R1294" s="1267"/>
      <c r="S1294" s="1267"/>
      <c r="T1294" s="1268"/>
    </row>
    <row r="1295" spans="2:20" ht="19.5" customHeight="1">
      <c r="B1295" s="1259"/>
      <c r="C1295" s="1259"/>
      <c r="D1295" s="1257"/>
      <c r="E1295" s="707" t="s">
        <v>419</v>
      </c>
      <c r="F1295" s="708"/>
      <c r="G1295" s="1226">
        <f>G1293-G1294*L1289</f>
        <v>0</v>
      </c>
      <c r="H1295" s="1227"/>
      <c r="I1295" s="681" t="s">
        <v>452</v>
      </c>
      <c r="J1295" s="1275"/>
      <c r="K1295" s="1563"/>
      <c r="L1295" s="1278"/>
      <c r="M1295" s="1284"/>
      <c r="N1295" s="706"/>
      <c r="O1295" s="689"/>
      <c r="P1295" s="690"/>
      <c r="Q1295" s="1266"/>
      <c r="R1295" s="1267"/>
      <c r="S1295" s="1267"/>
      <c r="T1295" s="1268"/>
    </row>
    <row r="1296" spans="2:20" ht="19.5" customHeight="1" thickBot="1">
      <c r="B1296" s="1259"/>
      <c r="C1296" s="1280"/>
      <c r="D1296" s="1281"/>
      <c r="E1296" s="884" t="s">
        <v>423</v>
      </c>
      <c r="F1296" s="709"/>
      <c r="G1296" s="1231">
        <f>G1294*L1289</f>
        <v>0</v>
      </c>
      <c r="H1296" s="1232"/>
      <c r="I1296" s="696" t="s">
        <v>452</v>
      </c>
      <c r="J1296" s="1275"/>
      <c r="K1296" s="1563"/>
      <c r="L1296" s="1278"/>
      <c r="M1296" s="1284"/>
      <c r="N1296" s="706"/>
      <c r="O1296" s="689"/>
      <c r="P1296" s="690"/>
      <c r="Q1296" s="1266"/>
      <c r="R1296" s="1267"/>
      <c r="S1296" s="1267"/>
      <c r="T1296" s="1268"/>
    </row>
    <row r="1297" spans="2:20" ht="19.5" customHeight="1">
      <c r="B1297" s="1259" t="s">
        <v>301</v>
      </c>
      <c r="C1297" s="1273" t="s">
        <v>332</v>
      </c>
      <c r="D1297" s="1272" t="s">
        <v>276</v>
      </c>
      <c r="E1297" s="702" t="s">
        <v>437</v>
      </c>
      <c r="F1297" s="693"/>
      <c r="G1297" s="1204">
        <f>IF(G1253-G1252-O1245*L1245&lt;0,0,G1253-G1252-O1245*L1245)</f>
        <v>2451</v>
      </c>
      <c r="H1297" s="1205"/>
      <c r="I1297" s="693" t="s">
        <v>452</v>
      </c>
      <c r="J1297" s="1275"/>
      <c r="K1297" s="1563"/>
      <c r="L1297" s="1278"/>
      <c r="M1297" s="1284"/>
      <c r="N1297" s="706"/>
      <c r="O1297" s="689"/>
      <c r="P1297" s="690"/>
      <c r="Q1297" s="1266"/>
      <c r="R1297" s="1267"/>
      <c r="S1297" s="1267"/>
      <c r="T1297" s="1268"/>
    </row>
    <row r="1298" spans="2:20" ht="19.5" customHeight="1">
      <c r="B1298" s="1259"/>
      <c r="C1298" s="1259"/>
      <c r="D1298" s="1257"/>
      <c r="E1298" s="771" t="s">
        <v>273</v>
      </c>
      <c r="F1298" s="681"/>
      <c r="G1298" s="1206">
        <f>IF(G1297&gt;2,G1297-2,0)</f>
        <v>2449</v>
      </c>
      <c r="H1298" s="1207"/>
      <c r="I1298" s="796" t="s">
        <v>452</v>
      </c>
      <c r="J1298" s="1275"/>
      <c r="K1298" s="1563"/>
      <c r="L1298" s="1278"/>
      <c r="M1298" s="1284"/>
      <c r="N1298" s="706"/>
      <c r="O1298" s="689"/>
      <c r="P1298" s="690"/>
      <c r="Q1298" s="1266"/>
      <c r="R1298" s="1267"/>
      <c r="S1298" s="1267"/>
      <c r="T1298" s="1268"/>
    </row>
    <row r="1299" spans="2:20" ht="19.5" customHeight="1">
      <c r="B1299" s="1259"/>
      <c r="C1299" s="1259"/>
      <c r="D1299" s="1257"/>
      <c r="E1299" s="703" t="s">
        <v>274</v>
      </c>
      <c r="F1299" s="677"/>
      <c r="G1299" s="1226">
        <f>LEN('記入シート'!C647)</f>
        <v>0</v>
      </c>
      <c r="H1299" s="1227"/>
      <c r="I1299" s="681" t="s">
        <v>452</v>
      </c>
      <c r="J1299" s="1275"/>
      <c r="K1299" s="1563"/>
      <c r="L1299" s="1278"/>
      <c r="M1299" s="1284"/>
      <c r="N1299" s="706"/>
      <c r="O1299" s="689"/>
      <c r="P1299" s="690"/>
      <c r="Q1299" s="1266"/>
      <c r="R1299" s="1267"/>
      <c r="S1299" s="1267"/>
      <c r="T1299" s="1268"/>
    </row>
    <row r="1300" spans="2:20" ht="19.5" customHeight="1" thickBot="1">
      <c r="B1300" s="1259"/>
      <c r="C1300" s="1280"/>
      <c r="D1300" s="1281"/>
      <c r="E1300" s="944" t="s">
        <v>167</v>
      </c>
      <c r="F1300" s="932"/>
      <c r="G1300" s="1236" t="str">
        <f>IF(G1299&gt;G1298,"OVER","INSIDE")</f>
        <v>INSIDE</v>
      </c>
      <c r="H1300" s="1237"/>
      <c r="I1300" s="1238"/>
      <c r="J1300" s="1276"/>
      <c r="K1300" s="1573"/>
      <c r="L1300" s="1279"/>
      <c r="M1300" s="1285"/>
      <c r="N1300" s="710"/>
      <c r="O1300" s="698"/>
      <c r="P1300" s="699"/>
      <c r="Q1300" s="1269"/>
      <c r="R1300" s="1270"/>
      <c r="S1300" s="1270"/>
      <c r="T1300" s="1271"/>
    </row>
    <row r="1301" spans="2:20" ht="19.5" customHeight="1">
      <c r="B1301" s="1259" t="s">
        <v>301</v>
      </c>
      <c r="C1301" s="1273" t="s">
        <v>400</v>
      </c>
      <c r="D1301" s="1272" t="s">
        <v>276</v>
      </c>
      <c r="E1301" s="713"/>
      <c r="F1301" s="885" t="s">
        <v>455</v>
      </c>
      <c r="G1301" s="1454">
        <f>LEN(LEFT('記入シート'!C651,L1301))</f>
        <v>0</v>
      </c>
      <c r="H1301" s="1455"/>
      <c r="I1301" s="755" t="s">
        <v>452</v>
      </c>
      <c r="J1301" s="1551" t="s">
        <v>352</v>
      </c>
      <c r="K1301" s="1460">
        <f ca="1">CELL("row",'記入シート'!C651)</f>
        <v>651</v>
      </c>
      <c r="L1301" s="1278">
        <f>$L$40</f>
        <v>6</v>
      </c>
      <c r="M1301" s="1284">
        <f>M1289</f>
        <v>129</v>
      </c>
      <c r="N1301" s="1544" t="s">
        <v>474</v>
      </c>
      <c r="O1301" s="1546">
        <f>SUM(G1301:H1308)</f>
        <v>0</v>
      </c>
      <c r="P1301" s="1556" t="s">
        <v>452</v>
      </c>
      <c r="Q1301" s="1554">
        <f>IF(O1306=0,REPT("　",O1316*L1301),CONCATENATE(LEFT('記入シート'!C651,L1301),REPT("　",G1302),LEFT('記入シート'!C652,L1301),REPT("　",G1304),LEFT('記入シート'!C653,L1301),REPT("　",G1306),LEFT('記入シート'!C654,L1301),REPT("　",G1308),REPT("　",L1301*O1308)))</f>
      </c>
      <c r="R1301" s="313"/>
      <c r="S1301" s="313"/>
      <c r="T1301" s="313"/>
    </row>
    <row r="1302" spans="2:20" ht="19.5" customHeight="1">
      <c r="B1302" s="1259"/>
      <c r="C1302" s="1259"/>
      <c r="D1302" s="1257"/>
      <c r="E1302" s="713"/>
      <c r="F1302" s="711" t="s">
        <v>458</v>
      </c>
      <c r="G1302" s="1226">
        <f>IF(G1301=0,0,$L$40-G1301)</f>
        <v>0</v>
      </c>
      <c r="H1302" s="1227"/>
      <c r="I1302" s="696" t="s">
        <v>452</v>
      </c>
      <c r="J1302" s="1297"/>
      <c r="K1302" s="1253"/>
      <c r="L1302" s="1278"/>
      <c r="M1302" s="1284"/>
      <c r="N1302" s="1544"/>
      <c r="O1302" s="1546"/>
      <c r="P1302" s="1556"/>
      <c r="Q1302" s="1554"/>
      <c r="R1302" s="313"/>
      <c r="S1302" s="313"/>
      <c r="T1302" s="313"/>
    </row>
    <row r="1303" spans="2:20" ht="19.5" customHeight="1">
      <c r="B1303" s="1259"/>
      <c r="C1303" s="1259"/>
      <c r="D1303" s="1257"/>
      <c r="E1303" s="713"/>
      <c r="F1303" s="711" t="s">
        <v>456</v>
      </c>
      <c r="G1303" s="1226">
        <f>LEN(LEFT('記入シート'!C652,L1301))</f>
        <v>0</v>
      </c>
      <c r="H1303" s="1227"/>
      <c r="I1303" s="696" t="s">
        <v>452</v>
      </c>
      <c r="J1303" s="1297" t="s">
        <v>352</v>
      </c>
      <c r="K1303" s="1253">
        <f ca="1">CELL("row",'記入シート'!C652)</f>
        <v>652</v>
      </c>
      <c r="L1303" s="1278"/>
      <c r="M1303" s="1284"/>
      <c r="N1303" s="1544"/>
      <c r="O1303" s="1546"/>
      <c r="P1303" s="1556"/>
      <c r="Q1303" s="1554"/>
      <c r="R1303" s="313"/>
      <c r="S1303" s="313"/>
      <c r="T1303" s="313"/>
    </row>
    <row r="1304" spans="2:20" ht="19.5" customHeight="1">
      <c r="B1304" s="1259"/>
      <c r="C1304" s="1259"/>
      <c r="D1304" s="1257"/>
      <c r="E1304" s="713" t="s">
        <v>401</v>
      </c>
      <c r="F1304" s="711" t="s">
        <v>459</v>
      </c>
      <c r="G1304" s="1226">
        <f>IF(G1303=0,0,$L$40-G1303)</f>
        <v>0</v>
      </c>
      <c r="H1304" s="1227"/>
      <c r="I1304" s="696" t="s">
        <v>452</v>
      </c>
      <c r="J1304" s="1297"/>
      <c r="K1304" s="1253"/>
      <c r="L1304" s="1278"/>
      <c r="M1304" s="1284"/>
      <c r="N1304" s="1544"/>
      <c r="O1304" s="1546"/>
      <c r="P1304" s="1556"/>
      <c r="Q1304" s="1549"/>
      <c r="R1304" s="313"/>
      <c r="S1304" s="313"/>
      <c r="T1304" s="313"/>
    </row>
    <row r="1305" spans="2:20" ht="19.5" customHeight="1">
      <c r="B1305" s="1259"/>
      <c r="C1305" s="1259"/>
      <c r="D1305" s="1257"/>
      <c r="E1305" s="713" t="s">
        <v>309</v>
      </c>
      <c r="F1305" s="714" t="s">
        <v>475</v>
      </c>
      <c r="G1305" s="1226">
        <f>LEN(LEFT('記入シート'!C653,L1301))</f>
        <v>0</v>
      </c>
      <c r="H1305" s="1227"/>
      <c r="I1305" s="696" t="s">
        <v>452</v>
      </c>
      <c r="J1305" s="1550" t="s">
        <v>352</v>
      </c>
      <c r="K1305" s="1253">
        <f ca="1">CELL("row",'記入シート'!C653)</f>
        <v>653</v>
      </c>
      <c r="L1305" s="1278"/>
      <c r="M1305" s="1284"/>
      <c r="N1305" s="1545"/>
      <c r="O1305" s="1295"/>
      <c r="P1305" s="1557"/>
      <c r="Q1305" s="320"/>
      <c r="R1305" s="313"/>
      <c r="S1305" s="313"/>
      <c r="T1305" s="313"/>
    </row>
    <row r="1306" spans="2:20" ht="19.5" customHeight="1">
      <c r="B1306" s="1259"/>
      <c r="C1306" s="1259"/>
      <c r="D1306" s="1257"/>
      <c r="E1306" s="713"/>
      <c r="F1306" s="714" t="s">
        <v>476</v>
      </c>
      <c r="G1306" s="1226">
        <f>IF(G1305=0,0,$L$40-G1305)</f>
        <v>0</v>
      </c>
      <c r="H1306" s="1227"/>
      <c r="I1306" s="696" t="s">
        <v>452</v>
      </c>
      <c r="J1306" s="1551"/>
      <c r="K1306" s="1253"/>
      <c r="L1306" s="1278"/>
      <c r="M1306" s="1284"/>
      <c r="N1306" s="1523" t="s">
        <v>480</v>
      </c>
      <c r="O1306" s="1294">
        <f>O1301/$L$40</f>
        <v>0</v>
      </c>
      <c r="P1306" s="1296" t="s">
        <v>453</v>
      </c>
      <c r="Q1306" s="320"/>
      <c r="R1306" s="313"/>
      <c r="S1306" s="313"/>
      <c r="T1306" s="313"/>
    </row>
    <row r="1307" spans="2:20" ht="19.5" customHeight="1">
      <c r="B1307" s="1259"/>
      <c r="C1307" s="1259"/>
      <c r="D1307" s="1257"/>
      <c r="E1307" s="713"/>
      <c r="F1307" s="714" t="s">
        <v>477</v>
      </c>
      <c r="G1307" s="1226">
        <f>LEN(LEFT('記入シート'!C654,L1301))</f>
        <v>0</v>
      </c>
      <c r="H1307" s="1227"/>
      <c r="I1307" s="696" t="s">
        <v>452</v>
      </c>
      <c r="J1307" s="1550" t="s">
        <v>352</v>
      </c>
      <c r="K1307" s="1253">
        <f ca="1">CELL("row",'記入シート'!C654)</f>
        <v>654</v>
      </c>
      <c r="L1307" s="1278"/>
      <c r="M1307" s="1284"/>
      <c r="N1307" s="1529"/>
      <c r="O1307" s="1295"/>
      <c r="P1307" s="1288"/>
      <c r="Q1307" s="995"/>
      <c r="R1307" s="313"/>
      <c r="S1307" s="313"/>
      <c r="T1307" s="313"/>
    </row>
    <row r="1308" spans="2:20" ht="19.5" customHeight="1">
      <c r="B1308" s="1259"/>
      <c r="C1308" s="1259"/>
      <c r="D1308" s="1257"/>
      <c r="E1308" s="713"/>
      <c r="F1308" s="714" t="s">
        <v>478</v>
      </c>
      <c r="G1308" s="1226">
        <f>IF(G1307=0,0,$L$40-G1307)</f>
        <v>0</v>
      </c>
      <c r="H1308" s="1227"/>
      <c r="I1308" s="681" t="s">
        <v>452</v>
      </c>
      <c r="J1308" s="1551"/>
      <c r="K1308" s="1253"/>
      <c r="L1308" s="1553"/>
      <c r="M1308" s="1518"/>
      <c r="N1308" s="716" t="s">
        <v>252</v>
      </c>
      <c r="O1308" s="783">
        <f>O1316-O1306</f>
        <v>0</v>
      </c>
      <c r="P1308" s="717" t="s">
        <v>453</v>
      </c>
      <c r="Q1308" s="995"/>
      <c r="R1308" s="313"/>
      <c r="S1308" s="313"/>
      <c r="T1308" s="313"/>
    </row>
    <row r="1309" spans="2:20" ht="19.5" customHeight="1">
      <c r="B1309" s="1259"/>
      <c r="C1309" s="1259"/>
      <c r="D1309" s="1257"/>
      <c r="E1309" s="732"/>
      <c r="F1309" s="736"/>
      <c r="G1309" s="736"/>
      <c r="H1309" s="737"/>
      <c r="I1309" s="738"/>
      <c r="J1309" s="1015"/>
      <c r="K1309" s="733"/>
      <c r="L1309" s="740"/>
      <c r="M1309" s="741"/>
      <c r="N1309" s="1532" t="s">
        <v>124</v>
      </c>
      <c r="O1309" s="1534" t="str">
        <f>IF(O1306&gt;G1297/L1289,"OVER","INSIDE")</f>
        <v>INSIDE</v>
      </c>
      <c r="P1309" s="1535"/>
      <c r="Q1309" s="424"/>
      <c r="R1309" s="419"/>
      <c r="S1309" s="419"/>
      <c r="T1309" s="419"/>
    </row>
    <row r="1310" spans="2:20" ht="19.5" customHeight="1" thickBot="1">
      <c r="B1310" s="1259"/>
      <c r="C1310" s="1259"/>
      <c r="D1310" s="1257"/>
      <c r="E1310" s="758"/>
      <c r="F1310" s="759"/>
      <c r="G1310" s="759"/>
      <c r="H1310" s="760"/>
      <c r="I1310" s="761"/>
      <c r="J1310" s="1016"/>
      <c r="K1310" s="761"/>
      <c r="L1310" s="762"/>
      <c r="M1310" s="763"/>
      <c r="N1310" s="1533"/>
      <c r="O1310" s="1536"/>
      <c r="P1310" s="1537"/>
      <c r="Q1310" s="424"/>
      <c r="R1310" s="419"/>
      <c r="S1310" s="419"/>
      <c r="T1310" s="419"/>
    </row>
    <row r="1311" spans="2:20" ht="19.5" customHeight="1">
      <c r="B1311" s="1259" t="s">
        <v>301</v>
      </c>
      <c r="C1311" s="1259" t="s">
        <v>400</v>
      </c>
      <c r="D1311" s="1257" t="s">
        <v>276</v>
      </c>
      <c r="E1311" s="746"/>
      <c r="F1311" s="728" t="s">
        <v>455</v>
      </c>
      <c r="G1311" s="1204">
        <f>LEN(LEFT('記入シート'!C657,L1311))</f>
        <v>0</v>
      </c>
      <c r="H1311" s="1205"/>
      <c r="I1311" s="729" t="s">
        <v>452</v>
      </c>
      <c r="J1311" s="1538" t="s">
        <v>352</v>
      </c>
      <c r="K1311" s="1562">
        <f ca="1">CELL("row",'記入シート'!C657)</f>
        <v>657</v>
      </c>
      <c r="L1311" s="1552">
        <f>$L$49</f>
        <v>6</v>
      </c>
      <c r="M1311" s="1540">
        <f>M1289</f>
        <v>129</v>
      </c>
      <c r="N1311" s="1543" t="s">
        <v>484</v>
      </c>
      <c r="O1311" s="1521">
        <f>SUM(G1311:H1314)</f>
        <v>0</v>
      </c>
      <c r="P1311" s="1522" t="s">
        <v>452</v>
      </c>
      <c r="Q1311" s="1548">
        <f>IF(O1314=0,REPT("　",O1316*L1311),CONCATENATE(LEFT('記入シート'!C657,L1311),REPT("　",G1312),LEFT('記入シート'!C658,L1311),REPT("　",G1314),REPT("　",L1311*O1319)))</f>
      </c>
      <c r="R1311" s="419"/>
      <c r="S1311" s="419"/>
      <c r="T1311" s="419"/>
    </row>
    <row r="1312" spans="2:20" ht="19.5" customHeight="1">
      <c r="B1312" s="1259"/>
      <c r="C1312" s="1259"/>
      <c r="D1312" s="1257"/>
      <c r="E1312" s="713" t="s">
        <v>402</v>
      </c>
      <c r="F1312" s="709" t="s">
        <v>458</v>
      </c>
      <c r="G1312" s="1226">
        <f>IF(G1311=0,0,$L$49-G1311)</f>
        <v>0</v>
      </c>
      <c r="H1312" s="1227"/>
      <c r="I1312" s="696" t="s">
        <v>452</v>
      </c>
      <c r="J1312" s="1297"/>
      <c r="K1312" s="1563"/>
      <c r="L1312" s="1278"/>
      <c r="M1312" s="1301"/>
      <c r="N1312" s="1544"/>
      <c r="O1312" s="1546"/>
      <c r="P1312" s="1287"/>
      <c r="Q1312" s="1549"/>
      <c r="R1312" s="419"/>
      <c r="S1312" s="419"/>
      <c r="T1312" s="419"/>
    </row>
    <row r="1313" spans="2:20" ht="19.5" customHeight="1">
      <c r="B1313" s="1259"/>
      <c r="C1313" s="1259"/>
      <c r="D1313" s="1257"/>
      <c r="E1313" s="713" t="s">
        <v>309</v>
      </c>
      <c r="F1313" s="709" t="s">
        <v>456</v>
      </c>
      <c r="G1313" s="1226">
        <f>LEN(LEFT('記入シート'!C658,L1311))</f>
        <v>0</v>
      </c>
      <c r="H1313" s="1227"/>
      <c r="I1313" s="696" t="s">
        <v>452</v>
      </c>
      <c r="J1313" s="1550" t="s">
        <v>352</v>
      </c>
      <c r="K1313" s="1530">
        <f ca="1">CELL("row",'記入シート'!C658)</f>
        <v>658</v>
      </c>
      <c r="L1313" s="1278"/>
      <c r="M1313" s="1301"/>
      <c r="N1313" s="1545"/>
      <c r="O1313" s="1295"/>
      <c r="P1313" s="1288"/>
      <c r="Q1313" s="424"/>
      <c r="R1313" s="419"/>
      <c r="S1313" s="419"/>
      <c r="T1313" s="419"/>
    </row>
    <row r="1314" spans="2:20" ht="19.5" customHeight="1">
      <c r="B1314" s="1259"/>
      <c r="C1314" s="1259"/>
      <c r="D1314" s="1257"/>
      <c r="E1314" s="713"/>
      <c r="F1314" s="708" t="s">
        <v>459</v>
      </c>
      <c r="G1314" s="1226">
        <f>IF(G1313=0,0,$L$49-G1313)</f>
        <v>0</v>
      </c>
      <c r="H1314" s="1227"/>
      <c r="I1314" s="681" t="s">
        <v>452</v>
      </c>
      <c r="J1314" s="1551"/>
      <c r="K1314" s="1531"/>
      <c r="L1314" s="1553"/>
      <c r="M1314" s="1301"/>
      <c r="N1314" s="1523" t="s">
        <v>479</v>
      </c>
      <c r="O1314" s="1294">
        <f>O1311/$L$49</f>
        <v>0</v>
      </c>
      <c r="P1314" s="1296" t="s">
        <v>453</v>
      </c>
      <c r="Q1314" s="424"/>
      <c r="R1314" s="419"/>
      <c r="S1314" s="419"/>
      <c r="T1314" s="419"/>
    </row>
    <row r="1315" spans="2:20" ht="19.5" customHeight="1">
      <c r="B1315" s="1259"/>
      <c r="C1315" s="1259"/>
      <c r="D1315" s="1257"/>
      <c r="E1315" s="732"/>
      <c r="F1315" s="730"/>
      <c r="G1315" s="730"/>
      <c r="H1315" s="731"/>
      <c r="I1315" s="733"/>
      <c r="J1315" s="1015"/>
      <c r="K1315" s="733"/>
      <c r="L1315" s="734"/>
      <c r="M1315" s="734"/>
      <c r="N1315" s="1547"/>
      <c r="O1315" s="1546"/>
      <c r="P1315" s="1287"/>
      <c r="Q1315" s="424"/>
      <c r="R1315" s="419"/>
      <c r="S1315" s="419"/>
      <c r="T1315" s="419"/>
    </row>
    <row r="1316" spans="2:20" ht="19.5" customHeight="1">
      <c r="B1316" s="1259"/>
      <c r="C1316" s="1259"/>
      <c r="D1316" s="1257"/>
      <c r="E1316" s="732"/>
      <c r="F1316" s="736"/>
      <c r="G1316" s="736"/>
      <c r="H1316" s="737"/>
      <c r="I1316" s="738"/>
      <c r="J1316" s="1017"/>
      <c r="K1316" s="738"/>
      <c r="L1316" s="740"/>
      <c r="M1316" s="740"/>
      <c r="N1316" s="1523" t="s">
        <v>483</v>
      </c>
      <c r="O1316" s="1294">
        <f>MAX(G1294,O1306,O1314)</f>
        <v>0</v>
      </c>
      <c r="P1316" s="1296" t="s">
        <v>453</v>
      </c>
      <c r="Q1316" s="424"/>
      <c r="R1316" s="419"/>
      <c r="S1316" s="419"/>
      <c r="T1316" s="419"/>
    </row>
    <row r="1317" spans="2:20" ht="19.5" customHeight="1">
      <c r="B1317" s="1259"/>
      <c r="C1317" s="1259"/>
      <c r="D1317" s="1257"/>
      <c r="E1317" s="732"/>
      <c r="F1317" s="736"/>
      <c r="G1317" s="736"/>
      <c r="H1317" s="737"/>
      <c r="I1317" s="738"/>
      <c r="J1317" s="1017"/>
      <c r="K1317" s="738"/>
      <c r="L1317" s="740"/>
      <c r="M1317" s="740"/>
      <c r="N1317" s="1547"/>
      <c r="O1317" s="1546"/>
      <c r="P1317" s="1287"/>
      <c r="Q1317" s="424"/>
      <c r="R1317" s="419"/>
      <c r="S1317" s="419"/>
      <c r="T1317" s="419"/>
    </row>
    <row r="1318" spans="2:20" ht="19.5" customHeight="1">
      <c r="B1318" s="1259"/>
      <c r="C1318" s="1259"/>
      <c r="D1318" s="1257"/>
      <c r="E1318" s="732"/>
      <c r="F1318" s="736"/>
      <c r="G1318" s="736"/>
      <c r="H1318" s="737"/>
      <c r="I1318" s="738"/>
      <c r="J1318" s="1017"/>
      <c r="K1318" s="738"/>
      <c r="L1318" s="740"/>
      <c r="M1318" s="740"/>
      <c r="N1318" s="1529"/>
      <c r="O1318" s="1295"/>
      <c r="P1318" s="1288"/>
      <c r="Q1318" s="424"/>
      <c r="R1318" s="419"/>
      <c r="S1318" s="419"/>
      <c r="T1318" s="419"/>
    </row>
    <row r="1319" spans="2:20" ht="19.5" customHeight="1">
      <c r="B1319" s="1259"/>
      <c r="C1319" s="1259"/>
      <c r="D1319" s="1257"/>
      <c r="E1319" s="732"/>
      <c r="F1319" s="736"/>
      <c r="G1319" s="736"/>
      <c r="H1319" s="737"/>
      <c r="I1319" s="738"/>
      <c r="J1319" s="1017"/>
      <c r="K1319" s="738"/>
      <c r="L1319" s="740"/>
      <c r="M1319" s="740"/>
      <c r="N1319" s="716" t="s">
        <v>145</v>
      </c>
      <c r="O1319" s="783">
        <f>O1316-O1314</f>
        <v>0</v>
      </c>
      <c r="P1319" s="717" t="s">
        <v>453</v>
      </c>
      <c r="Q1319" s="424"/>
      <c r="R1319" s="419"/>
      <c r="S1319" s="419"/>
      <c r="T1319" s="419"/>
    </row>
    <row r="1320" spans="2:20" ht="19.5" customHeight="1">
      <c r="B1320" s="1259"/>
      <c r="C1320" s="1259"/>
      <c r="D1320" s="1257"/>
      <c r="E1320" s="732"/>
      <c r="F1320" s="736"/>
      <c r="G1320" s="736"/>
      <c r="H1320" s="737"/>
      <c r="I1320" s="738"/>
      <c r="J1320" s="1017"/>
      <c r="K1320" s="738"/>
      <c r="L1320" s="740"/>
      <c r="M1320" s="740"/>
      <c r="N1320" s="1532" t="s">
        <v>125</v>
      </c>
      <c r="O1320" s="1534" t="str">
        <f>IF(O1314&gt;G1297/L1289,"OVER","INSIDE")</f>
        <v>INSIDE</v>
      </c>
      <c r="P1320" s="1535"/>
      <c r="Q1320" s="424"/>
      <c r="R1320" s="419"/>
      <c r="S1320" s="419"/>
      <c r="T1320" s="419"/>
    </row>
    <row r="1321" spans="2:20" ht="19.5" customHeight="1" thickBot="1">
      <c r="B1321" s="1259"/>
      <c r="C1321" s="1259"/>
      <c r="D1321" s="1257"/>
      <c r="E1321" s="732"/>
      <c r="F1321" s="736"/>
      <c r="G1321" s="736"/>
      <c r="H1321" s="737"/>
      <c r="I1321" s="738"/>
      <c r="J1321" s="1017"/>
      <c r="K1321" s="738"/>
      <c r="L1321" s="740"/>
      <c r="M1321" s="740"/>
      <c r="N1321" s="1533"/>
      <c r="O1321" s="1536"/>
      <c r="P1321" s="1537"/>
      <c r="Q1321" s="424"/>
      <c r="R1321" s="419"/>
      <c r="S1321" s="419"/>
      <c r="T1321" s="419"/>
    </row>
    <row r="1322" spans="2:20" ht="19.5" customHeight="1">
      <c r="B1322" s="1259" t="s">
        <v>301</v>
      </c>
      <c r="C1322" s="1259" t="s">
        <v>400</v>
      </c>
      <c r="D1322" s="1257" t="s">
        <v>276</v>
      </c>
      <c r="E1322" s="746"/>
      <c r="F1322" s="742" t="s">
        <v>1</v>
      </c>
      <c r="G1322" s="1204">
        <f>LEN(LEFT('記入シート'!D661,2))</f>
        <v>0</v>
      </c>
      <c r="H1322" s="1205"/>
      <c r="I1322" s="729" t="s">
        <v>452</v>
      </c>
      <c r="J1322" s="1538" t="s">
        <v>353</v>
      </c>
      <c r="K1322" s="1542">
        <f ca="1">CELL("row",'記入シート'!D661)</f>
        <v>661</v>
      </c>
      <c r="L1322" s="1539">
        <v>2</v>
      </c>
      <c r="M1322" s="1540">
        <f>M1289</f>
        <v>129</v>
      </c>
      <c r="N1322" s="1541" t="s">
        <v>8</v>
      </c>
      <c r="O1322" s="1521">
        <f>IF(G1322=0,0,1)</f>
        <v>0</v>
      </c>
      <c r="P1322" s="1522" t="s">
        <v>453</v>
      </c>
      <c r="Q1322" s="503" t="s">
        <v>6</v>
      </c>
      <c r="R1322" s="419"/>
      <c r="S1322" s="419"/>
      <c r="T1322" s="419"/>
    </row>
    <row r="1323" spans="2:20" ht="19.5" customHeight="1">
      <c r="B1323" s="1259"/>
      <c r="C1323" s="1259"/>
      <c r="D1323" s="1257"/>
      <c r="E1323" s="713"/>
      <c r="F1323" s="709" t="s">
        <v>2</v>
      </c>
      <c r="G1323" s="1226">
        <f>$L$58-G1322</f>
        <v>2</v>
      </c>
      <c r="H1323" s="1227"/>
      <c r="I1323" s="696" t="s">
        <v>452</v>
      </c>
      <c r="J1323" s="1297"/>
      <c r="K1323" s="1531"/>
      <c r="L1323" s="1299"/>
      <c r="M1323" s="1302"/>
      <c r="N1323" s="1526"/>
      <c r="O1323" s="1295"/>
      <c r="P1323" s="1288"/>
      <c r="Q1323" s="986">
        <f>IF(G1300="OVER","",IF(G1293=0,"",IF(O1322=0,REPT("　",5*O1324),CONCATENATE(REPT("　",G1323),LEFT('記入シート'!D661,L1322),"／",REPT("　",G1325),LEFT('記入シート'!G661,L1324),REPT("　",5*O1324)))))</f>
      </c>
      <c r="R1323" s="419"/>
      <c r="S1323" s="419"/>
      <c r="T1323" s="419"/>
    </row>
    <row r="1324" spans="2:20" ht="19.5" customHeight="1">
      <c r="B1324" s="1259"/>
      <c r="C1324" s="1259"/>
      <c r="D1324" s="1257"/>
      <c r="E1324" s="713"/>
      <c r="F1324" s="709" t="s">
        <v>3</v>
      </c>
      <c r="G1324" s="1226">
        <f>LEN(LEFT('記入シート'!G661,2))</f>
        <v>0</v>
      </c>
      <c r="H1324" s="1227"/>
      <c r="I1324" s="696" t="s">
        <v>452</v>
      </c>
      <c r="J1324" s="1297" t="s">
        <v>354</v>
      </c>
      <c r="K1324" s="1530">
        <f ca="1">CELL("row",'記入シート'!G661)</f>
        <v>661</v>
      </c>
      <c r="L1324" s="1299">
        <v>2</v>
      </c>
      <c r="M1324" s="1301">
        <f>M1289</f>
        <v>129</v>
      </c>
      <c r="N1324" s="1523" t="s">
        <v>240</v>
      </c>
      <c r="O1324" s="1294">
        <f>O1316-O1322</f>
        <v>0</v>
      </c>
      <c r="P1324" s="1296" t="s">
        <v>453</v>
      </c>
      <c r="Q1324" s="987"/>
      <c r="R1324" s="419"/>
      <c r="S1324" s="419"/>
      <c r="T1324" s="419"/>
    </row>
    <row r="1325" spans="2:20" ht="19.5" customHeight="1">
      <c r="B1325" s="1259"/>
      <c r="C1325" s="1259"/>
      <c r="D1325" s="1257"/>
      <c r="E1325" s="713" t="s">
        <v>403</v>
      </c>
      <c r="F1325" s="709" t="s">
        <v>461</v>
      </c>
      <c r="G1325" s="1226">
        <f>$L$60-G1324</f>
        <v>2</v>
      </c>
      <c r="H1325" s="1227"/>
      <c r="I1325" s="696" t="s">
        <v>452</v>
      </c>
      <c r="J1325" s="1297"/>
      <c r="K1325" s="1531"/>
      <c r="L1325" s="1299"/>
      <c r="M1325" s="1301"/>
      <c r="N1325" s="1529"/>
      <c r="O1325" s="1295"/>
      <c r="P1325" s="1288"/>
      <c r="Q1325" s="988"/>
      <c r="R1325" s="419"/>
      <c r="S1325" s="419"/>
      <c r="T1325" s="419"/>
    </row>
    <row r="1326" spans="2:20" ht="19.5" customHeight="1">
      <c r="B1326" s="1259"/>
      <c r="C1326" s="1259"/>
      <c r="D1326" s="1257"/>
      <c r="E1326" s="713" t="s">
        <v>309</v>
      </c>
      <c r="F1326" s="709" t="s">
        <v>4</v>
      </c>
      <c r="G1326" s="1226">
        <f>LEN(LEFT('記入シート'!N661,2))</f>
        <v>0</v>
      </c>
      <c r="H1326" s="1227"/>
      <c r="I1326" s="696" t="s">
        <v>452</v>
      </c>
      <c r="J1326" s="1297" t="s">
        <v>355</v>
      </c>
      <c r="K1326" s="1530">
        <f ca="1">CELL("row",'記入シート'!N661)</f>
        <v>661</v>
      </c>
      <c r="L1326" s="1299">
        <v>2</v>
      </c>
      <c r="M1326" s="1301">
        <f>M1289</f>
        <v>129</v>
      </c>
      <c r="N1326" s="1525" t="s">
        <v>178</v>
      </c>
      <c r="O1326" s="1294">
        <f>IF(G1326=0,0,1)</f>
        <v>0</v>
      </c>
      <c r="P1326" s="1296" t="s">
        <v>453</v>
      </c>
      <c r="Q1326" s="503" t="s">
        <v>7</v>
      </c>
      <c r="R1326" s="419"/>
      <c r="S1326" s="419"/>
      <c r="T1326" s="419"/>
    </row>
    <row r="1327" spans="2:20" ht="19.5" customHeight="1">
      <c r="B1327" s="1259"/>
      <c r="C1327" s="1259"/>
      <c r="D1327" s="1257"/>
      <c r="E1327" s="713"/>
      <c r="F1327" s="709" t="s">
        <v>5</v>
      </c>
      <c r="G1327" s="1226">
        <f>$L$62-G1326</f>
        <v>2</v>
      </c>
      <c r="H1327" s="1227"/>
      <c r="I1327" s="696" t="s">
        <v>452</v>
      </c>
      <c r="J1327" s="1297"/>
      <c r="K1327" s="1531"/>
      <c r="L1327" s="1299"/>
      <c r="M1327" s="1301"/>
      <c r="N1327" s="1526"/>
      <c r="O1327" s="1295"/>
      <c r="P1327" s="1288"/>
      <c r="Q1327" s="986">
        <f>IF(G1300="OVER","",IF(G1293=0,"",IF(O1326=0,REPT("　",5*O1328),CONCATENATE(REPT("　",G1327),LEFT('記入シート'!N661,L1326),"／",REPT("　",G1329),LEFT('記入シート'!Q661,L1328),REPT("　",5*O1328)))))</f>
      </c>
      <c r="R1327" s="419"/>
      <c r="S1327" s="419"/>
      <c r="T1327" s="419"/>
    </row>
    <row r="1328" spans="2:20" ht="19.5" customHeight="1">
      <c r="B1328" s="1259"/>
      <c r="C1328" s="1259"/>
      <c r="D1328" s="1257"/>
      <c r="E1328" s="713"/>
      <c r="F1328" s="709" t="s">
        <v>462</v>
      </c>
      <c r="G1328" s="1226">
        <f>LEN(LEFT('記入シート'!Q661,2))</f>
        <v>0</v>
      </c>
      <c r="H1328" s="1227"/>
      <c r="I1328" s="696" t="s">
        <v>452</v>
      </c>
      <c r="J1328" s="1297" t="s">
        <v>356</v>
      </c>
      <c r="K1328" s="1530">
        <f ca="1">CELL("row",'記入シート'!Q661)</f>
        <v>661</v>
      </c>
      <c r="L1328" s="1299">
        <v>2</v>
      </c>
      <c r="M1328" s="1301">
        <f>M1289</f>
        <v>129</v>
      </c>
      <c r="N1328" s="1523" t="s">
        <v>180</v>
      </c>
      <c r="O1328" s="1294">
        <f>O1316-O1326</f>
        <v>0</v>
      </c>
      <c r="P1328" s="1296" t="s">
        <v>453</v>
      </c>
      <c r="Q1328" s="987"/>
      <c r="R1328" s="419"/>
      <c r="S1328" s="419"/>
      <c r="T1328" s="419"/>
    </row>
    <row r="1329" spans="2:20" ht="19.5" customHeight="1" thickBot="1">
      <c r="B1329" s="1259"/>
      <c r="C1329" s="1259"/>
      <c r="D1329" s="1257"/>
      <c r="E1329" s="745"/>
      <c r="F1329" s="709" t="s">
        <v>463</v>
      </c>
      <c r="G1329" s="1231">
        <f>$L$64-G1328</f>
        <v>2</v>
      </c>
      <c r="H1329" s="1232"/>
      <c r="I1329" s="696" t="s">
        <v>452</v>
      </c>
      <c r="J1329" s="1298"/>
      <c r="K1329" s="1570"/>
      <c r="L1329" s="1300"/>
      <c r="M1329" s="1302"/>
      <c r="N1329" s="1524"/>
      <c r="O1329" s="1527"/>
      <c r="P1329" s="1528"/>
      <c r="Q1329" s="989"/>
      <c r="R1329" s="419"/>
      <c r="S1329" s="419"/>
      <c r="T1329" s="419"/>
    </row>
    <row r="1330" spans="2:20" ht="19.5" customHeight="1">
      <c r="B1330" s="1259"/>
      <c r="C1330" s="1259"/>
      <c r="D1330" s="1257" t="s">
        <v>276</v>
      </c>
      <c r="E1330" s="732" t="s">
        <v>404</v>
      </c>
      <c r="F1330" s="791" t="s">
        <v>420</v>
      </c>
      <c r="G1330" s="1204">
        <f>LEN(LEFT('記入シート'!C664,L1330))</f>
        <v>0</v>
      </c>
      <c r="H1330" s="1205"/>
      <c r="I1330" s="729" t="s">
        <v>452</v>
      </c>
      <c r="J1330" s="1274" t="s">
        <v>352</v>
      </c>
      <c r="K1330" s="1562">
        <f ca="1">CELL("row",'記入シート'!C664)</f>
        <v>664</v>
      </c>
      <c r="L1330" s="1552">
        <f>$L$66</f>
        <v>1</v>
      </c>
      <c r="M1330" s="1517">
        <f>M1289</f>
        <v>129</v>
      </c>
      <c r="N1330" s="1519" t="s">
        <v>10</v>
      </c>
      <c r="O1330" s="1521">
        <f>IF(G1330=0,0,1)</f>
        <v>0</v>
      </c>
      <c r="P1330" s="1522" t="s">
        <v>453</v>
      </c>
      <c r="Q1330" s="639">
        <f>IF(G1300="OVER","",IF(G1291=0,"",CONCATENATE(LEFT('記入シート'!C664,1),REPT("　",O1332))))</f>
      </c>
      <c r="R1330" s="419"/>
      <c r="S1330" s="419"/>
      <c r="T1330" s="419"/>
    </row>
    <row r="1331" spans="2:20" ht="19.5" customHeight="1">
      <c r="B1331" s="1259"/>
      <c r="C1331" s="1259"/>
      <c r="D1331" s="1257"/>
      <c r="E1331" s="732" t="s">
        <v>309</v>
      </c>
      <c r="F1331" s="711" t="s">
        <v>460</v>
      </c>
      <c r="G1331" s="1226">
        <f>$L$66-G1330</f>
        <v>1</v>
      </c>
      <c r="H1331" s="1227"/>
      <c r="I1331" s="696" t="s">
        <v>452</v>
      </c>
      <c r="J1331" s="1275"/>
      <c r="K1331" s="1563"/>
      <c r="L1331" s="1278"/>
      <c r="M1331" s="1284"/>
      <c r="N1331" s="1520"/>
      <c r="O1331" s="1295"/>
      <c r="P1331" s="1288"/>
      <c r="Q1331" s="464"/>
      <c r="R1331" s="419"/>
      <c r="S1331" s="419"/>
      <c r="T1331" s="419"/>
    </row>
    <row r="1332" spans="2:106" s="186" customFormat="1" ht="19.5" customHeight="1" thickBot="1">
      <c r="B1332" s="1260"/>
      <c r="C1332" s="1260"/>
      <c r="D1332" s="1258"/>
      <c r="E1332" s="769"/>
      <c r="F1332" s="748" t="s">
        <v>158</v>
      </c>
      <c r="G1332" s="793" t="s">
        <v>159</v>
      </c>
      <c r="H1332" s="798">
        <f>WIDECHAR('記入シート'!C664)</f>
      </c>
      <c r="I1332" s="792" t="s">
        <v>160</v>
      </c>
      <c r="J1332" s="1561"/>
      <c r="K1332" s="1567"/>
      <c r="L1332" s="1553"/>
      <c r="M1332" s="1518"/>
      <c r="N1332" s="784" t="s">
        <v>148</v>
      </c>
      <c r="O1332" s="783">
        <f>O1316-O1330</f>
        <v>0</v>
      </c>
      <c r="P1332" s="717" t="s">
        <v>453</v>
      </c>
      <c r="Q1332" s="465"/>
      <c r="R1332" s="419"/>
      <c r="S1332" s="419"/>
      <c r="T1332" s="419"/>
      <c r="U1332" s="205"/>
      <c r="V1332" s="205"/>
      <c r="W1332" s="205"/>
      <c r="X1332" s="205"/>
      <c r="Y1332" s="205"/>
      <c r="Z1332" s="205"/>
      <c r="AA1332" s="205"/>
      <c r="AB1332" s="205"/>
      <c r="AC1332" s="205"/>
      <c r="AD1332" s="205"/>
      <c r="AE1332" s="205"/>
      <c r="AF1332" s="205"/>
      <c r="AG1332" s="205"/>
      <c r="AH1332" s="205"/>
      <c r="AI1332" s="205"/>
      <c r="AJ1332" s="205"/>
      <c r="AK1332" s="205"/>
      <c r="AL1332" s="205"/>
      <c r="AM1332" s="205"/>
      <c r="AN1332" s="205"/>
      <c r="AO1332" s="205"/>
      <c r="AP1332" s="205"/>
      <c r="AQ1332" s="205"/>
      <c r="AR1332" s="205"/>
      <c r="AS1332" s="205"/>
      <c r="AT1332" s="205"/>
      <c r="AU1332" s="205"/>
      <c r="AV1332" s="205"/>
      <c r="AW1332" s="205"/>
      <c r="AX1332" s="205"/>
      <c r="AY1332" s="205"/>
      <c r="AZ1332" s="205"/>
      <c r="BA1332" s="205"/>
      <c r="BB1332" s="205"/>
      <c r="BC1332" s="205"/>
      <c r="BD1332" s="205"/>
      <c r="BE1332" s="205"/>
      <c r="BF1332" s="205"/>
      <c r="BG1332" s="205"/>
      <c r="BH1332" s="205"/>
      <c r="BI1332" s="205"/>
      <c r="BJ1332" s="205"/>
      <c r="BK1332" s="205"/>
      <c r="BL1332" s="205"/>
      <c r="BM1332" s="205"/>
      <c r="BN1332" s="205"/>
      <c r="BO1332" s="205"/>
      <c r="BP1332" s="205"/>
      <c r="BQ1332" s="205"/>
      <c r="BR1332" s="205"/>
      <c r="BS1332" s="205"/>
      <c r="BT1332" s="205"/>
      <c r="BU1332" s="205"/>
      <c r="BV1332" s="205"/>
      <c r="BW1332" s="205"/>
      <c r="BX1332" s="205"/>
      <c r="BY1332" s="205"/>
      <c r="BZ1332" s="205"/>
      <c r="CA1332" s="205"/>
      <c r="CB1332" s="205"/>
      <c r="CC1332" s="205"/>
      <c r="CD1332" s="205"/>
      <c r="CE1332" s="205"/>
      <c r="CF1332" s="205"/>
      <c r="CG1332" s="205"/>
      <c r="CH1332" s="205"/>
      <c r="CI1332" s="205"/>
      <c r="CJ1332" s="205"/>
      <c r="CK1332" s="205"/>
      <c r="CL1332" s="205"/>
      <c r="CM1332" s="205"/>
      <c r="CN1332" s="205"/>
      <c r="CO1332" s="205"/>
      <c r="CP1332" s="205"/>
      <c r="CQ1332" s="205"/>
      <c r="CR1332" s="205"/>
      <c r="CS1332" s="205"/>
      <c r="CT1332" s="205"/>
      <c r="CU1332" s="205"/>
      <c r="CV1332" s="205"/>
      <c r="CW1332" s="205"/>
      <c r="CX1332" s="205"/>
      <c r="CY1332" s="205"/>
      <c r="CZ1332" s="205"/>
      <c r="DA1332" s="205"/>
      <c r="DB1332" s="205"/>
    </row>
    <row r="1333" spans="2:106" s="186" customFormat="1" ht="19.5" customHeight="1" thickTop="1">
      <c r="B1333" s="1261" t="s">
        <v>296</v>
      </c>
      <c r="C1333" s="1261" t="s">
        <v>400</v>
      </c>
      <c r="D1333" s="1505" t="s">
        <v>12</v>
      </c>
      <c r="E1333" s="770" t="s">
        <v>13</v>
      </c>
      <c r="F1333" s="833"/>
      <c r="G1333" s="1454">
        <f>O1140+O1184+O1228+O1272+O1316</f>
        <v>0</v>
      </c>
      <c r="H1333" s="1455"/>
      <c r="I1333" s="738" t="s">
        <v>453</v>
      </c>
      <c r="J1333" s="1056" t="s">
        <v>400</v>
      </c>
      <c r="K1333" s="1041"/>
      <c r="L1333" s="1042"/>
      <c r="M1333" s="1032" t="str">
        <f>IF(G1340="OVER","※＃５は超過しているため表示できません",CONCATENATE(REPT("　",G1351*$L$32),Q1113,Q1157,Q1201,Q1245,Q1289,REPT("　",(G1337-G1333+G1355)*$L$32)))</f>
        <v>　　　　　　　　　　　　　　　　　　　</v>
      </c>
      <c r="N1333" s="466"/>
      <c r="O1333" s="466"/>
      <c r="P1333" s="466"/>
      <c r="Q1333" s="570"/>
      <c r="R1333" s="570"/>
      <c r="S1333" s="570"/>
      <c r="T1333" s="570"/>
      <c r="U1333" s="206"/>
      <c r="V1333" s="206"/>
      <c r="W1333" s="206"/>
      <c r="X1333" s="206"/>
      <c r="Y1333" s="206"/>
      <c r="Z1333" s="206"/>
      <c r="AA1333" s="206"/>
      <c r="AB1333" s="206"/>
      <c r="AC1333" s="206"/>
      <c r="AD1333" s="206"/>
      <c r="AE1333" s="206"/>
      <c r="AF1333" s="206"/>
      <c r="AG1333" s="206"/>
      <c r="AH1333" s="206"/>
      <c r="AI1333" s="206"/>
      <c r="AJ1333" s="206"/>
      <c r="AK1333" s="206"/>
      <c r="AL1333" s="206"/>
      <c r="AM1333" s="206"/>
      <c r="AN1333" s="206"/>
      <c r="AO1333" s="206"/>
      <c r="AP1333" s="206"/>
      <c r="AQ1333" s="206"/>
      <c r="AR1333" s="206"/>
      <c r="AS1333" s="206"/>
      <c r="AT1333" s="206"/>
      <c r="AU1333" s="206"/>
      <c r="AV1333" s="206"/>
      <c r="AW1333" s="206"/>
      <c r="AX1333" s="206"/>
      <c r="AY1333" s="206"/>
      <c r="AZ1333" s="206"/>
      <c r="BA1333" s="206"/>
      <c r="BB1333" s="206"/>
      <c r="BC1333" s="206"/>
      <c r="BD1333" s="206"/>
      <c r="BE1333" s="206"/>
      <c r="BF1333" s="206"/>
      <c r="BG1333" s="206"/>
      <c r="BH1333" s="206"/>
      <c r="BI1333" s="206"/>
      <c r="BJ1333" s="206"/>
      <c r="BK1333" s="206"/>
      <c r="BL1333" s="206"/>
      <c r="BM1333" s="206"/>
      <c r="BN1333" s="206"/>
      <c r="BO1333" s="206"/>
      <c r="BP1333" s="206"/>
      <c r="BQ1333" s="206"/>
      <c r="BR1333" s="206"/>
      <c r="BS1333" s="206"/>
      <c r="BT1333" s="206"/>
      <c r="BU1333" s="206"/>
      <c r="BV1333" s="206"/>
      <c r="BW1333" s="206"/>
      <c r="BX1333" s="206"/>
      <c r="BY1333" s="206"/>
      <c r="BZ1333" s="206"/>
      <c r="CA1333" s="206"/>
      <c r="CB1333" s="206"/>
      <c r="CC1333" s="206"/>
      <c r="CD1333" s="206"/>
      <c r="CE1333" s="206"/>
      <c r="CF1333" s="206"/>
      <c r="CG1333" s="206"/>
      <c r="CH1333" s="206"/>
      <c r="CI1333" s="206"/>
      <c r="CJ1333" s="206"/>
      <c r="CK1333" s="206"/>
      <c r="CL1333" s="206"/>
      <c r="CM1333" s="206"/>
      <c r="CN1333" s="206"/>
      <c r="CO1333" s="206"/>
      <c r="CP1333" s="206"/>
      <c r="CQ1333" s="206"/>
      <c r="CR1333" s="206"/>
      <c r="CS1333" s="206"/>
      <c r="CT1333" s="206"/>
      <c r="CU1333" s="206"/>
      <c r="CV1333" s="206"/>
      <c r="CW1333" s="206"/>
      <c r="CX1333" s="206"/>
      <c r="CY1333" s="206"/>
      <c r="CZ1333" s="206"/>
      <c r="DA1333" s="206"/>
      <c r="DB1333" s="206"/>
    </row>
    <row r="1334" spans="2:106" s="186" customFormat="1" ht="19.5" customHeight="1">
      <c r="B1334" s="1259"/>
      <c r="C1334" s="1259"/>
      <c r="D1334" s="1506"/>
      <c r="E1334" s="1511" t="s">
        <v>16</v>
      </c>
      <c r="F1334" s="1512"/>
      <c r="G1334" s="1119" t="str">
        <f>IF(G1333&gt;J1078,"OVER","INSIDE")</f>
        <v>INSIDE</v>
      </c>
      <c r="H1334" s="1508"/>
      <c r="I1334" s="1515"/>
      <c r="J1334" s="1053" t="s">
        <v>401</v>
      </c>
      <c r="K1334" s="1054"/>
      <c r="L1334" s="1055"/>
      <c r="M1334" s="467" t="str">
        <f>IF(G1340="OVER","※　OVER",CONCATENATE(REPT("　",G1351*$L$40),Q1125,Q1169,Q1213,Q1257,Q1301,REPT("　",(G1337-G1333+G1355)*$L$40)))</f>
        <v>　　　　　　</v>
      </c>
      <c r="N1334" s="468"/>
      <c r="O1334" s="468"/>
      <c r="P1334" s="468"/>
      <c r="Q1334" s="468"/>
      <c r="R1334" s="468"/>
      <c r="S1334" s="468"/>
      <c r="T1334" s="468"/>
      <c r="U1334" s="206"/>
      <c r="V1334" s="206"/>
      <c r="W1334" s="206"/>
      <c r="X1334" s="206"/>
      <c r="Y1334" s="206"/>
      <c r="Z1334" s="206"/>
      <c r="AA1334" s="206"/>
      <c r="AB1334" s="206"/>
      <c r="AC1334" s="206"/>
      <c r="AD1334" s="206"/>
      <c r="AE1334" s="206"/>
      <c r="AF1334" s="206"/>
      <c r="AG1334" s="206"/>
      <c r="AH1334" s="206"/>
      <c r="AI1334" s="206"/>
      <c r="AJ1334" s="206"/>
      <c r="AK1334" s="206"/>
      <c r="AL1334" s="206"/>
      <c r="AM1334" s="206"/>
      <c r="AN1334" s="206"/>
      <c r="AO1334" s="206"/>
      <c r="AP1334" s="206"/>
      <c r="AQ1334" s="206"/>
      <c r="AR1334" s="206"/>
      <c r="AS1334" s="206"/>
      <c r="AT1334" s="206"/>
      <c r="AU1334" s="206"/>
      <c r="AV1334" s="206"/>
      <c r="AW1334" s="206"/>
      <c r="AX1334" s="206"/>
      <c r="AY1334" s="206"/>
      <c r="AZ1334" s="206"/>
      <c r="BA1334" s="206"/>
      <c r="BB1334" s="206"/>
      <c r="BC1334" s="206"/>
      <c r="BD1334" s="206"/>
      <c r="BE1334" s="206"/>
      <c r="BF1334" s="206"/>
      <c r="BG1334" s="206"/>
      <c r="BH1334" s="206"/>
      <c r="BI1334" s="206"/>
      <c r="BJ1334" s="206"/>
      <c r="BK1334" s="206"/>
      <c r="BL1334" s="206"/>
      <c r="BM1334" s="206"/>
      <c r="BN1334" s="206"/>
      <c r="BO1334" s="206"/>
      <c r="BP1334" s="206"/>
      <c r="BQ1334" s="206"/>
      <c r="BR1334" s="206"/>
      <c r="BS1334" s="206"/>
      <c r="BT1334" s="206"/>
      <c r="BU1334" s="206"/>
      <c r="BV1334" s="206"/>
      <c r="BW1334" s="206"/>
      <c r="BX1334" s="206"/>
      <c r="BY1334" s="206"/>
      <c r="BZ1334" s="206"/>
      <c r="CA1334" s="206"/>
      <c r="CB1334" s="206"/>
      <c r="CC1334" s="206"/>
      <c r="CD1334" s="206"/>
      <c r="CE1334" s="206"/>
      <c r="CF1334" s="206"/>
      <c r="CG1334" s="206"/>
      <c r="CH1334" s="206"/>
      <c r="CI1334" s="206"/>
      <c r="CJ1334" s="206"/>
      <c r="CK1334" s="206"/>
      <c r="CL1334" s="206"/>
      <c r="CM1334" s="206"/>
      <c r="CN1334" s="206"/>
      <c r="CO1334" s="206"/>
      <c r="CP1334" s="206"/>
      <c r="CQ1334" s="206"/>
      <c r="CR1334" s="206"/>
      <c r="CS1334" s="206"/>
      <c r="CT1334" s="206"/>
      <c r="CU1334" s="206"/>
      <c r="CV1334" s="206"/>
      <c r="CW1334" s="206"/>
      <c r="CX1334" s="206"/>
      <c r="CY1334" s="206"/>
      <c r="CZ1334" s="206"/>
      <c r="DA1334" s="206"/>
      <c r="DB1334" s="206"/>
    </row>
    <row r="1335" spans="2:106" s="186" customFormat="1" ht="19.5" customHeight="1">
      <c r="B1335" s="1259"/>
      <c r="C1335" s="1259"/>
      <c r="D1335" s="1506"/>
      <c r="E1335" s="1513"/>
      <c r="F1335" s="1514"/>
      <c r="G1335" s="1113"/>
      <c r="H1335" s="1108"/>
      <c r="I1335" s="1516"/>
      <c r="J1335" s="1076" t="s">
        <v>402</v>
      </c>
      <c r="K1335" s="1077"/>
      <c r="L1335" s="1069"/>
      <c r="M1335" s="571" t="str">
        <f>IF(G1340="OVER","※　OVER",CONCATENATE(REPT("　",G1351*$L$49),Q1135,Q1179,Q1223,Q1267,Q1311,REPT("　",(G1337-G1333+G1355)*$L$49)))</f>
        <v>　　　　　　</v>
      </c>
      <c r="N1335" s="572"/>
      <c r="O1335" s="572"/>
      <c r="P1335" s="572"/>
      <c r="Q1335" s="572"/>
      <c r="R1335" s="572"/>
      <c r="S1335" s="572"/>
      <c r="T1335" s="572"/>
      <c r="U1335" s="206"/>
      <c r="V1335" s="206"/>
      <c r="W1335" s="206"/>
      <c r="X1335" s="206"/>
      <c r="Y1335" s="206"/>
      <c r="Z1335" s="206"/>
      <c r="AA1335" s="206"/>
      <c r="AB1335" s="206"/>
      <c r="AC1335" s="206"/>
      <c r="AD1335" s="206"/>
      <c r="AE1335" s="206"/>
      <c r="AF1335" s="206"/>
      <c r="AG1335" s="206"/>
      <c r="AH1335" s="206"/>
      <c r="AI1335" s="206"/>
      <c r="AJ1335" s="206"/>
      <c r="AK1335" s="206"/>
      <c r="AL1335" s="206"/>
      <c r="AM1335" s="206"/>
      <c r="AN1335" s="206"/>
      <c r="AO1335" s="206"/>
      <c r="AP1335" s="206"/>
      <c r="AQ1335" s="206"/>
      <c r="AR1335" s="206"/>
      <c r="AS1335" s="206"/>
      <c r="AT1335" s="206"/>
      <c r="AU1335" s="206"/>
      <c r="AV1335" s="206"/>
      <c r="AW1335" s="206"/>
      <c r="AX1335" s="206"/>
      <c r="AY1335" s="206"/>
      <c r="AZ1335" s="206"/>
      <c r="BA1335" s="206"/>
      <c r="BB1335" s="206"/>
      <c r="BC1335" s="206"/>
      <c r="BD1335" s="206"/>
      <c r="BE1335" s="206"/>
      <c r="BF1335" s="206"/>
      <c r="BG1335" s="206"/>
      <c r="BH1335" s="206"/>
      <c r="BI1335" s="206"/>
      <c r="BJ1335" s="206"/>
      <c r="BK1335" s="206"/>
      <c r="BL1335" s="206"/>
      <c r="BM1335" s="206"/>
      <c r="BN1335" s="206"/>
      <c r="BO1335" s="206"/>
      <c r="BP1335" s="206"/>
      <c r="BQ1335" s="206"/>
      <c r="BR1335" s="206"/>
      <c r="BS1335" s="206"/>
      <c r="BT1335" s="206"/>
      <c r="BU1335" s="206"/>
      <c r="BV1335" s="206"/>
      <c r="BW1335" s="206"/>
      <c r="BX1335" s="206"/>
      <c r="BY1335" s="206"/>
      <c r="BZ1335" s="206"/>
      <c r="CA1335" s="206"/>
      <c r="CB1335" s="206"/>
      <c r="CC1335" s="206"/>
      <c r="CD1335" s="206"/>
      <c r="CE1335" s="206"/>
      <c r="CF1335" s="206"/>
      <c r="CG1335" s="206"/>
      <c r="CH1335" s="206"/>
      <c r="CI1335" s="206"/>
      <c r="CJ1335" s="206"/>
      <c r="CK1335" s="206"/>
      <c r="CL1335" s="206"/>
      <c r="CM1335" s="206"/>
      <c r="CN1335" s="206"/>
      <c r="CO1335" s="206"/>
      <c r="CP1335" s="206"/>
      <c r="CQ1335" s="206"/>
      <c r="CR1335" s="206"/>
      <c r="CS1335" s="206"/>
      <c r="CT1335" s="206"/>
      <c r="CU1335" s="206"/>
      <c r="CV1335" s="206"/>
      <c r="CW1335" s="206"/>
      <c r="CX1335" s="206"/>
      <c r="CY1335" s="206"/>
      <c r="CZ1335" s="206"/>
      <c r="DA1335" s="206"/>
      <c r="DB1335" s="206"/>
    </row>
    <row r="1336" spans="2:106" s="186" customFormat="1" ht="19.5" customHeight="1">
      <c r="B1336" s="1259"/>
      <c r="C1336" s="1259"/>
      <c r="D1336" s="1506"/>
      <c r="E1336" s="771"/>
      <c r="F1336" s="708"/>
      <c r="G1336" s="1226"/>
      <c r="H1336" s="1227"/>
      <c r="I1336" s="772"/>
      <c r="J1336" s="1068" t="s">
        <v>6</v>
      </c>
      <c r="K1336" s="1057"/>
      <c r="L1336" s="1058"/>
      <c r="M1336" s="470" t="str">
        <f>IF(G1340="OVER","※OVER",CONCATENATE(REPT("　",G1351*5),Q1147,Q1191,Q1235,Q1279,Q1323,REPT("　",(G1337-G1333+G1355)*5)))</f>
        <v>　　　　　</v>
      </c>
      <c r="N1336" s="471"/>
      <c r="O1336" s="471"/>
      <c r="P1336" s="471"/>
      <c r="Q1336" s="471"/>
      <c r="R1336" s="471"/>
      <c r="S1336" s="471"/>
      <c r="T1336" s="471"/>
      <c r="U1336" s="206"/>
      <c r="V1336" s="206"/>
      <c r="W1336" s="206"/>
      <c r="X1336" s="206"/>
      <c r="Y1336" s="206"/>
      <c r="Z1336" s="206"/>
      <c r="AA1336" s="206"/>
      <c r="AB1336" s="206"/>
      <c r="AC1336" s="206"/>
      <c r="AD1336" s="206"/>
      <c r="AE1336" s="206"/>
      <c r="AF1336" s="206"/>
      <c r="AG1336" s="206"/>
      <c r="AH1336" s="206"/>
      <c r="AI1336" s="206"/>
      <c r="AJ1336" s="206"/>
      <c r="AK1336" s="206"/>
      <c r="AL1336" s="206"/>
      <c r="AM1336" s="206"/>
      <c r="AN1336" s="206"/>
      <c r="AO1336" s="206"/>
      <c r="AP1336" s="206"/>
      <c r="AQ1336" s="206"/>
      <c r="AR1336" s="206"/>
      <c r="AS1336" s="206"/>
      <c r="AT1336" s="206"/>
      <c r="AU1336" s="206"/>
      <c r="AV1336" s="206"/>
      <c r="AW1336" s="206"/>
      <c r="AX1336" s="206"/>
      <c r="AY1336" s="206"/>
      <c r="AZ1336" s="206"/>
      <c r="BA1336" s="206"/>
      <c r="BB1336" s="206"/>
      <c r="BC1336" s="206"/>
      <c r="BD1336" s="206"/>
      <c r="BE1336" s="206"/>
      <c r="BF1336" s="206"/>
      <c r="BG1336" s="206"/>
      <c r="BH1336" s="206"/>
      <c r="BI1336" s="206"/>
      <c r="BJ1336" s="206"/>
      <c r="BK1336" s="206"/>
      <c r="BL1336" s="206"/>
      <c r="BM1336" s="206"/>
      <c r="BN1336" s="206"/>
      <c r="BO1336" s="206"/>
      <c r="BP1336" s="206"/>
      <c r="BQ1336" s="206"/>
      <c r="BR1336" s="206"/>
      <c r="BS1336" s="206"/>
      <c r="BT1336" s="206"/>
      <c r="BU1336" s="206"/>
      <c r="BV1336" s="206"/>
      <c r="BW1336" s="206"/>
      <c r="BX1336" s="206"/>
      <c r="BY1336" s="206"/>
      <c r="BZ1336" s="206"/>
      <c r="CA1336" s="206"/>
      <c r="CB1336" s="206"/>
      <c r="CC1336" s="206"/>
      <c r="CD1336" s="206"/>
      <c r="CE1336" s="206"/>
      <c r="CF1336" s="206"/>
      <c r="CG1336" s="206"/>
      <c r="CH1336" s="206"/>
      <c r="CI1336" s="206"/>
      <c r="CJ1336" s="206"/>
      <c r="CK1336" s="206"/>
      <c r="CL1336" s="206"/>
      <c r="CM1336" s="206"/>
      <c r="CN1336" s="206"/>
      <c r="CO1336" s="206"/>
      <c r="CP1336" s="206"/>
      <c r="CQ1336" s="206"/>
      <c r="CR1336" s="206"/>
      <c r="CS1336" s="206"/>
      <c r="CT1336" s="206"/>
      <c r="CU1336" s="206"/>
      <c r="CV1336" s="206"/>
      <c r="CW1336" s="206"/>
      <c r="CX1336" s="206"/>
      <c r="CY1336" s="206"/>
      <c r="CZ1336" s="206"/>
      <c r="DA1336" s="206"/>
      <c r="DB1336" s="206"/>
    </row>
    <row r="1337" spans="2:106" s="186" customFormat="1" ht="19.5" customHeight="1">
      <c r="B1337" s="1259"/>
      <c r="C1337" s="1259"/>
      <c r="D1337" s="1506"/>
      <c r="E1337" s="1511" t="s">
        <v>15</v>
      </c>
      <c r="F1337" s="1512"/>
      <c r="G1337" s="1224">
        <f>MAX(G1084,G1095,G1106,G1333)</f>
        <v>0</v>
      </c>
      <c r="H1337" s="1225"/>
      <c r="I1337" s="1509" t="s">
        <v>453</v>
      </c>
      <c r="J1337" s="1065" t="s">
        <v>7</v>
      </c>
      <c r="K1337" s="1066"/>
      <c r="L1337" s="1067"/>
      <c r="M1337" s="472" t="str">
        <f>IF(G1340="OVER","※OVER",CONCATENATE(REPT("　",G1351*5),Q1151,Q1195,Q1239,Q1283,Q1327,REPT("　",(G1337-G1333+G1355)*5)))</f>
        <v>　　　　　</v>
      </c>
      <c r="N1337" s="473"/>
      <c r="O1337" s="473"/>
      <c r="P1337" s="473"/>
      <c r="Q1337" s="473"/>
      <c r="R1337" s="473"/>
      <c r="S1337" s="473"/>
      <c r="T1337" s="473"/>
      <c r="U1337" s="206"/>
      <c r="V1337" s="206"/>
      <c r="W1337" s="206"/>
      <c r="X1337" s="206"/>
      <c r="Y1337" s="206"/>
      <c r="Z1337" s="206"/>
      <c r="AA1337" s="206"/>
      <c r="AB1337" s="206"/>
      <c r="AC1337" s="206"/>
      <c r="AD1337" s="206"/>
      <c r="AE1337" s="206"/>
      <c r="AF1337" s="206"/>
      <c r="AG1337" s="206"/>
      <c r="AH1337" s="206"/>
      <c r="AI1337" s="206"/>
      <c r="AJ1337" s="206"/>
      <c r="AK1337" s="206"/>
      <c r="AL1337" s="206"/>
      <c r="AM1337" s="206"/>
      <c r="AN1337" s="206"/>
      <c r="AO1337" s="206"/>
      <c r="AP1337" s="206"/>
      <c r="AQ1337" s="206"/>
      <c r="AR1337" s="206"/>
      <c r="AS1337" s="206"/>
      <c r="AT1337" s="206"/>
      <c r="AU1337" s="206"/>
      <c r="AV1337" s="206"/>
      <c r="AW1337" s="206"/>
      <c r="AX1337" s="206"/>
      <c r="AY1337" s="206"/>
      <c r="AZ1337" s="206"/>
      <c r="BA1337" s="206"/>
      <c r="BB1337" s="206"/>
      <c r="BC1337" s="206"/>
      <c r="BD1337" s="206"/>
      <c r="BE1337" s="206"/>
      <c r="BF1337" s="206"/>
      <c r="BG1337" s="206"/>
      <c r="BH1337" s="206"/>
      <c r="BI1337" s="206"/>
      <c r="BJ1337" s="206"/>
      <c r="BK1337" s="206"/>
      <c r="BL1337" s="206"/>
      <c r="BM1337" s="206"/>
      <c r="BN1337" s="206"/>
      <c r="BO1337" s="206"/>
      <c r="BP1337" s="206"/>
      <c r="BQ1337" s="206"/>
      <c r="BR1337" s="206"/>
      <c r="BS1337" s="206"/>
      <c r="BT1337" s="206"/>
      <c r="BU1337" s="206"/>
      <c r="BV1337" s="206"/>
      <c r="BW1337" s="206"/>
      <c r="BX1337" s="206"/>
      <c r="BY1337" s="206"/>
      <c r="BZ1337" s="206"/>
      <c r="CA1337" s="206"/>
      <c r="CB1337" s="206"/>
      <c r="CC1337" s="206"/>
      <c r="CD1337" s="206"/>
      <c r="CE1337" s="206"/>
      <c r="CF1337" s="206"/>
      <c r="CG1337" s="206"/>
      <c r="CH1337" s="206"/>
      <c r="CI1337" s="206"/>
      <c r="CJ1337" s="206"/>
      <c r="CK1337" s="206"/>
      <c r="CL1337" s="206"/>
      <c r="CM1337" s="206"/>
      <c r="CN1337" s="206"/>
      <c r="CO1337" s="206"/>
      <c r="CP1337" s="206"/>
      <c r="CQ1337" s="206"/>
      <c r="CR1337" s="206"/>
      <c r="CS1337" s="206"/>
      <c r="CT1337" s="206"/>
      <c r="CU1337" s="206"/>
      <c r="CV1337" s="206"/>
      <c r="CW1337" s="206"/>
      <c r="CX1337" s="206"/>
      <c r="CY1337" s="206"/>
      <c r="CZ1337" s="206"/>
      <c r="DA1337" s="206"/>
      <c r="DB1337" s="206"/>
    </row>
    <row r="1338" spans="2:106" s="186" customFormat="1" ht="19.5" customHeight="1">
      <c r="B1338" s="1262"/>
      <c r="C1338" s="1262"/>
      <c r="D1338" s="1507"/>
      <c r="E1338" s="1513"/>
      <c r="F1338" s="1514"/>
      <c r="G1338" s="1454"/>
      <c r="H1338" s="1455"/>
      <c r="I1338" s="1510"/>
      <c r="J1338" s="1079" t="s">
        <v>404</v>
      </c>
      <c r="K1338" s="1080"/>
      <c r="L1338" s="1075"/>
      <c r="M1338" s="474" t="str">
        <f>IF(G1340="OVER","※",CONCATENATE(REPT("　",G1351),Q1154,Q1198,Q1242,Q1286,Q1330,REPT("　",(G1337-G1333+G1355))))</f>
        <v>　</v>
      </c>
      <c r="N1338" s="475"/>
      <c r="O1338" s="475"/>
      <c r="P1338" s="475"/>
      <c r="Q1338" s="475"/>
      <c r="R1338" s="475"/>
      <c r="S1338" s="475"/>
      <c r="T1338" s="475"/>
      <c r="U1338" s="206"/>
      <c r="V1338" s="206"/>
      <c r="W1338" s="206"/>
      <c r="X1338" s="206"/>
      <c r="Y1338" s="206"/>
      <c r="Z1338" s="206"/>
      <c r="AA1338" s="206"/>
      <c r="AB1338" s="206"/>
      <c r="AC1338" s="206"/>
      <c r="AD1338" s="206"/>
      <c r="AE1338" s="206"/>
      <c r="AF1338" s="206"/>
      <c r="AG1338" s="206"/>
      <c r="AH1338" s="206"/>
      <c r="AI1338" s="206"/>
      <c r="AJ1338" s="206"/>
      <c r="AK1338" s="206"/>
      <c r="AL1338" s="206"/>
      <c r="AM1338" s="206"/>
      <c r="AN1338" s="206"/>
      <c r="AO1338" s="206"/>
      <c r="AP1338" s="206"/>
      <c r="AQ1338" s="206"/>
      <c r="AR1338" s="206"/>
      <c r="AS1338" s="206"/>
      <c r="AT1338" s="206"/>
      <c r="AU1338" s="206"/>
      <c r="AV1338" s="206"/>
      <c r="AW1338" s="206"/>
      <c r="AX1338" s="206"/>
      <c r="AY1338" s="206"/>
      <c r="AZ1338" s="206"/>
      <c r="BA1338" s="206"/>
      <c r="BB1338" s="206"/>
      <c r="BC1338" s="206"/>
      <c r="BD1338" s="206"/>
      <c r="BE1338" s="206"/>
      <c r="BF1338" s="206"/>
      <c r="BG1338" s="206"/>
      <c r="BH1338" s="206"/>
      <c r="BI1338" s="206"/>
      <c r="BJ1338" s="206"/>
      <c r="BK1338" s="206"/>
      <c r="BL1338" s="206"/>
      <c r="BM1338" s="206"/>
      <c r="BN1338" s="206"/>
      <c r="BO1338" s="206"/>
      <c r="BP1338" s="206"/>
      <c r="BQ1338" s="206"/>
      <c r="BR1338" s="206"/>
      <c r="BS1338" s="206"/>
      <c r="BT1338" s="206"/>
      <c r="BU1338" s="206"/>
      <c r="BV1338" s="206"/>
      <c r="BW1338" s="206"/>
      <c r="BX1338" s="206"/>
      <c r="BY1338" s="206"/>
      <c r="BZ1338" s="206"/>
      <c r="CA1338" s="206"/>
      <c r="CB1338" s="206"/>
      <c r="CC1338" s="206"/>
      <c r="CD1338" s="206"/>
      <c r="CE1338" s="206"/>
      <c r="CF1338" s="206"/>
      <c r="CG1338" s="206"/>
      <c r="CH1338" s="206"/>
      <c r="CI1338" s="206"/>
      <c r="CJ1338" s="206"/>
      <c r="CK1338" s="206"/>
      <c r="CL1338" s="206"/>
      <c r="CM1338" s="206"/>
      <c r="CN1338" s="206"/>
      <c r="CO1338" s="206"/>
      <c r="CP1338" s="206"/>
      <c r="CQ1338" s="206"/>
      <c r="CR1338" s="206"/>
      <c r="CS1338" s="206"/>
      <c r="CT1338" s="206"/>
      <c r="CU1338" s="206"/>
      <c r="CV1338" s="206"/>
      <c r="CW1338" s="206"/>
      <c r="CX1338" s="206"/>
      <c r="CY1338" s="206"/>
      <c r="CZ1338" s="206"/>
      <c r="DA1338" s="206"/>
      <c r="DB1338" s="206"/>
    </row>
    <row r="1339" spans="2:20" s="186" customFormat="1" ht="21" customHeight="1">
      <c r="B1339" s="866"/>
      <c r="C1339" s="701"/>
      <c r="D1339" s="773"/>
      <c r="E1339" s="714" t="s">
        <v>320</v>
      </c>
      <c r="F1339" s="714"/>
      <c r="G1339" s="1224">
        <f>MIN(G1084,G1095,G1106,G1334)</f>
        <v>0</v>
      </c>
      <c r="H1339" s="1225"/>
      <c r="I1339" s="696" t="s">
        <v>453</v>
      </c>
      <c r="J1339" s="1004"/>
      <c r="K1339" s="1018"/>
      <c r="L1339" s="194"/>
      <c r="M1339" s="195"/>
      <c r="N1339" s="195"/>
      <c r="O1339" s="196"/>
      <c r="P1339" s="197"/>
      <c r="Q1339" s="193"/>
      <c r="R1339" s="193"/>
      <c r="S1339" s="193"/>
      <c r="T1339" s="193"/>
    </row>
    <row r="1340" spans="2:20" s="186" customFormat="1" ht="21" customHeight="1" thickBot="1">
      <c r="B1340" s="867"/>
      <c r="C1340" s="739"/>
      <c r="D1340" s="739"/>
      <c r="E1340" s="736" t="s">
        <v>99</v>
      </c>
      <c r="F1340" s="754"/>
      <c r="G1340" s="1119" t="str">
        <f>IF(MAX(G1084,G1095,G1106,G1333)&gt;J1078,"OVER","INSIDE")</f>
        <v>INSIDE</v>
      </c>
      <c r="H1340" s="1508"/>
      <c r="I1340" s="1120"/>
      <c r="J1340" s="1004"/>
      <c r="K1340" s="1018"/>
      <c r="L1340" s="194"/>
      <c r="M1340" s="195"/>
      <c r="N1340" s="195"/>
      <c r="O1340" s="196"/>
      <c r="P1340" s="197"/>
      <c r="Q1340" s="193"/>
      <c r="R1340" s="193"/>
      <c r="S1340" s="193"/>
      <c r="T1340" s="193"/>
    </row>
    <row r="1341" spans="2:20" ht="19.5" customHeight="1">
      <c r="B1341" s="1458" t="s">
        <v>380</v>
      </c>
      <c r="C1341" s="1459"/>
      <c r="D1341" s="1459"/>
      <c r="E1341" s="1459"/>
      <c r="F1341" s="1460"/>
      <c r="G1341" s="1204">
        <f>G1073+G1076</f>
        <v>4</v>
      </c>
      <c r="H1341" s="1205"/>
      <c r="I1341" s="693" t="s">
        <v>453</v>
      </c>
      <c r="K1341" s="380"/>
      <c r="L1341" s="774"/>
      <c r="M1341" s="775"/>
      <c r="N1341" s="775"/>
      <c r="O1341" s="775"/>
      <c r="P1341" s="775"/>
      <c r="Q1341" s="775"/>
      <c r="R1341" s="775"/>
      <c r="S1341" s="775"/>
      <c r="T1341" s="775"/>
    </row>
    <row r="1342" spans="2:20" ht="19.5" customHeight="1">
      <c r="B1342" s="1251" t="s">
        <v>381</v>
      </c>
      <c r="C1342" s="1252"/>
      <c r="D1342" s="1252"/>
      <c r="E1342" s="1252"/>
      <c r="F1342" s="1253"/>
      <c r="G1342" s="1226">
        <f>ROUNDUP(G1341/27,0)</f>
        <v>1</v>
      </c>
      <c r="H1342" s="1227"/>
      <c r="I1342" s="681" t="s">
        <v>36</v>
      </c>
      <c r="K1342" s="380"/>
      <c r="L1342" s="774"/>
      <c r="M1342" s="775"/>
      <c r="N1342" s="775"/>
      <c r="O1342" s="775"/>
      <c r="P1342" s="775"/>
      <c r="Q1342" s="775"/>
      <c r="R1342" s="775"/>
      <c r="S1342" s="775"/>
      <c r="T1342" s="775"/>
    </row>
    <row r="1343" spans="2:20" ht="19.5" customHeight="1">
      <c r="B1343" s="1251" t="s">
        <v>382</v>
      </c>
      <c r="C1343" s="1252"/>
      <c r="D1343" s="1252"/>
      <c r="E1343" s="1252"/>
      <c r="F1343" s="1253"/>
      <c r="G1343" s="1226">
        <f>G1341+G1337</f>
        <v>4</v>
      </c>
      <c r="H1343" s="1227"/>
      <c r="I1343" s="677" t="s">
        <v>453</v>
      </c>
      <c r="K1343" s="380"/>
      <c r="L1343" s="774"/>
      <c r="M1343" s="775"/>
      <c r="N1343" s="775"/>
      <c r="O1343" s="775"/>
      <c r="P1343" s="775"/>
      <c r="Q1343" s="775"/>
      <c r="R1343" s="775"/>
      <c r="S1343" s="775"/>
      <c r="T1343" s="775"/>
    </row>
    <row r="1344" spans="2:20" ht="19.5" customHeight="1">
      <c r="B1344" s="868"/>
      <c r="C1344" s="829"/>
      <c r="D1344" s="1252" t="s">
        <v>383</v>
      </c>
      <c r="E1344" s="1252"/>
      <c r="F1344" s="1253"/>
      <c r="G1344" s="1454">
        <f>G1341+G1084</f>
        <v>4</v>
      </c>
      <c r="H1344" s="1455"/>
      <c r="I1344" s="677" t="s">
        <v>453</v>
      </c>
      <c r="K1344" s="380"/>
      <c r="L1344" s="774"/>
      <c r="M1344" s="775"/>
      <c r="N1344" s="775"/>
      <c r="O1344" s="775"/>
      <c r="P1344" s="775"/>
      <c r="Q1344" s="775"/>
      <c r="R1344" s="775"/>
      <c r="S1344" s="775"/>
      <c r="T1344" s="775"/>
    </row>
    <row r="1345" spans="2:20" ht="19.5" customHeight="1">
      <c r="B1345" s="869"/>
      <c r="C1345" s="830"/>
      <c r="D1345" s="1252" t="s">
        <v>384</v>
      </c>
      <c r="E1345" s="1252"/>
      <c r="F1345" s="1253"/>
      <c r="G1345" s="1226">
        <f>G1341+G1095</f>
        <v>4</v>
      </c>
      <c r="H1345" s="1227"/>
      <c r="I1345" s="677" t="s">
        <v>453</v>
      </c>
      <c r="K1345" s="380"/>
      <c r="L1345" s="774"/>
      <c r="M1345" s="775"/>
      <c r="N1345" s="775"/>
      <c r="O1345" s="775"/>
      <c r="P1345" s="775"/>
      <c r="Q1345" s="775"/>
      <c r="R1345" s="775"/>
      <c r="S1345" s="775"/>
      <c r="T1345" s="775"/>
    </row>
    <row r="1346" spans="2:20" ht="19.5" customHeight="1">
      <c r="B1346" s="869"/>
      <c r="C1346" s="830"/>
      <c r="D1346" s="1252" t="s">
        <v>385</v>
      </c>
      <c r="E1346" s="1252"/>
      <c r="F1346" s="1253"/>
      <c r="G1346" s="1226">
        <f>G1341+G1106</f>
        <v>4</v>
      </c>
      <c r="H1346" s="1227"/>
      <c r="I1346" s="677" t="s">
        <v>453</v>
      </c>
      <c r="K1346" s="380"/>
      <c r="L1346" s="774"/>
      <c r="M1346" s="775"/>
      <c r="N1346" s="775"/>
      <c r="O1346" s="775"/>
      <c r="P1346" s="775"/>
      <c r="Q1346" s="775"/>
      <c r="R1346" s="775"/>
      <c r="S1346" s="775"/>
      <c r="T1346" s="775"/>
    </row>
    <row r="1347" spans="2:20" ht="19.5" customHeight="1">
      <c r="B1347" s="869"/>
      <c r="C1347" s="831"/>
      <c r="D1347" s="1252" t="s">
        <v>47</v>
      </c>
      <c r="E1347" s="1252"/>
      <c r="F1347" s="1253"/>
      <c r="G1347" s="1226">
        <f>MAX(G1344,G1345,G1346)</f>
        <v>4</v>
      </c>
      <c r="H1347" s="1227"/>
      <c r="I1347" s="677" t="s">
        <v>453</v>
      </c>
      <c r="K1347" s="380"/>
      <c r="L1347" s="774"/>
      <c r="M1347" s="775"/>
      <c r="N1347" s="775"/>
      <c r="O1347" s="775"/>
      <c r="P1347" s="775"/>
      <c r="Q1347" s="775"/>
      <c r="R1347" s="775"/>
      <c r="S1347" s="775"/>
      <c r="T1347" s="775"/>
    </row>
    <row r="1348" spans="2:20" ht="19.5" customHeight="1">
      <c r="B1348" s="869"/>
      <c r="C1348" s="830"/>
      <c r="D1348" s="1252" t="s">
        <v>48</v>
      </c>
      <c r="E1348" s="1252"/>
      <c r="F1348" s="1253"/>
      <c r="G1348" s="1226">
        <f>ROUNDUP(G1347/27,0)</f>
        <v>1</v>
      </c>
      <c r="H1348" s="1227"/>
      <c r="I1348" s="681" t="s">
        <v>36</v>
      </c>
      <c r="K1348" s="380"/>
      <c r="L1348" s="774"/>
      <c r="M1348" s="775"/>
      <c r="N1348" s="775"/>
      <c r="O1348" s="775"/>
      <c r="P1348" s="775"/>
      <c r="Q1348" s="775"/>
      <c r="R1348" s="775"/>
      <c r="S1348" s="775"/>
      <c r="T1348" s="775"/>
    </row>
    <row r="1349" spans="2:20" ht="19.5" customHeight="1">
      <c r="B1349" s="869"/>
      <c r="C1349" s="830"/>
      <c r="D1349" s="1252" t="s">
        <v>387</v>
      </c>
      <c r="E1349" s="1252"/>
      <c r="F1349" s="1253"/>
      <c r="G1349" s="1254" t="str">
        <f>IF(G1074=G1348,"同じ","違う")</f>
        <v>同じ</v>
      </c>
      <c r="H1349" s="1255"/>
      <c r="I1349" s="1256"/>
      <c r="K1349" s="380"/>
      <c r="L1349" s="774"/>
      <c r="M1349" s="775"/>
      <c r="N1349" s="775"/>
      <c r="O1349" s="775"/>
      <c r="P1349" s="775"/>
      <c r="Q1349" s="775"/>
      <c r="R1349" s="775"/>
      <c r="S1349" s="775"/>
      <c r="T1349" s="775"/>
    </row>
    <row r="1350" spans="2:20" ht="19.5" customHeight="1">
      <c r="B1350" s="870"/>
      <c r="C1350" s="832"/>
      <c r="D1350" s="1251" t="s">
        <v>369</v>
      </c>
      <c r="E1350" s="1252"/>
      <c r="F1350" s="1253"/>
      <c r="G1350" s="1254" t="str">
        <f>IF(G1349="同じ","不要","必要")</f>
        <v>不要</v>
      </c>
      <c r="H1350" s="1255"/>
      <c r="I1350" s="1256"/>
      <c r="J1350" s="1027" t="s">
        <v>362</v>
      </c>
      <c r="K1350" s="775"/>
      <c r="L1350" s="1217" t="s">
        <v>358</v>
      </c>
      <c r="M1350" s="1218"/>
      <c r="N1350" s="1219"/>
      <c r="O1350" s="993">
        <f>IF(G1350="必要",G1342+1,G1342)</f>
        <v>1</v>
      </c>
      <c r="P1350" s="994" t="s">
        <v>36</v>
      </c>
      <c r="Q1350" s="775"/>
      <c r="R1350" s="775"/>
      <c r="S1350" s="775"/>
      <c r="T1350" s="775"/>
    </row>
    <row r="1351" spans="2:20" ht="19.5" customHeight="1">
      <c r="B1351" s="1251" t="s">
        <v>39</v>
      </c>
      <c r="C1351" s="1252"/>
      <c r="D1351" s="1252"/>
      <c r="E1351" s="1252"/>
      <c r="F1351" s="1253"/>
      <c r="G1351" s="1226">
        <f>IF(G1350="必要",G1342*27-G1341,0)</f>
        <v>0</v>
      </c>
      <c r="H1351" s="1227"/>
      <c r="I1351" s="681" t="s">
        <v>453</v>
      </c>
      <c r="K1351" s="380"/>
      <c r="L1351" s="990" t="s">
        <v>357</v>
      </c>
      <c r="M1351" s="991"/>
      <c r="N1351" s="992"/>
      <c r="O1351" s="1220" t="str">
        <f>IF(O1350&gt;$G$8,"ＯＶＥＲ","ＩＮＳＩＤＥ")</f>
        <v>ＩＮＳＩＤＥ</v>
      </c>
      <c r="P1351" s="1221"/>
      <c r="Q1351" s="775"/>
      <c r="R1351" s="775"/>
      <c r="S1351" s="775"/>
      <c r="T1351" s="775"/>
    </row>
    <row r="1352" spans="2:20" ht="19.5" customHeight="1">
      <c r="B1352" s="1251" t="s">
        <v>386</v>
      </c>
      <c r="C1352" s="1252"/>
      <c r="D1352" s="1252"/>
      <c r="E1352" s="1252"/>
      <c r="F1352" s="1253"/>
      <c r="G1352" s="1226">
        <f>G1341+G1351+G1337</f>
        <v>4</v>
      </c>
      <c r="H1352" s="1227"/>
      <c r="I1352" s="681"/>
      <c r="K1352" s="380"/>
      <c r="L1352" s="774"/>
      <c r="M1352" s="775"/>
      <c r="N1352" s="775"/>
      <c r="O1352" s="775"/>
      <c r="P1352" s="775"/>
      <c r="Q1352" s="775"/>
      <c r="R1352" s="775"/>
      <c r="S1352" s="775"/>
      <c r="T1352" s="775"/>
    </row>
    <row r="1353" spans="2:20" ht="19.5" customHeight="1">
      <c r="B1353" s="1251" t="s">
        <v>367</v>
      </c>
      <c r="C1353" s="1252"/>
      <c r="D1353" s="1252"/>
      <c r="E1353" s="1252"/>
      <c r="F1353" s="1253"/>
      <c r="G1353" s="1226">
        <f>ROUNDUP(G1352/27,0)</f>
        <v>1</v>
      </c>
      <c r="H1353" s="1227"/>
      <c r="I1353" s="681"/>
      <c r="K1353" s="380"/>
      <c r="L1353" s="774"/>
      <c r="M1353" s="775"/>
      <c r="N1353" s="775"/>
      <c r="O1353" s="775"/>
      <c r="P1353" s="775"/>
      <c r="Q1353" s="775"/>
      <c r="R1353" s="775"/>
      <c r="S1353" s="775"/>
      <c r="T1353" s="775"/>
    </row>
    <row r="1354" spans="2:20" ht="19.5" customHeight="1">
      <c r="B1354" s="1251" t="s">
        <v>388</v>
      </c>
      <c r="C1354" s="1252"/>
      <c r="D1354" s="1252"/>
      <c r="E1354" s="1252"/>
      <c r="F1354" s="1253"/>
      <c r="G1354" s="1254" t="str">
        <f>IF(L1354=TRUE,"最終行","最終以外")</f>
        <v>最終以外</v>
      </c>
      <c r="H1354" s="1255"/>
      <c r="I1354" s="1256"/>
      <c r="J1354" s="1061" t="s">
        <v>43</v>
      </c>
      <c r="K1354" s="1062"/>
      <c r="L1354" s="815" t="b">
        <f>OR(G1352=27,G1352=54,G1352=81,G1352=108,G1352=135)</f>
        <v>0</v>
      </c>
      <c r="M1354" s="813"/>
      <c r="N1354" s="814"/>
      <c r="O1354" s="775"/>
      <c r="P1354" s="775"/>
      <c r="Q1354" s="775"/>
      <c r="R1354" s="775"/>
      <c r="S1354" s="775"/>
      <c r="T1354" s="775"/>
    </row>
    <row r="1355" spans="2:20" ht="19.5" customHeight="1">
      <c r="B1355" s="1251" t="s">
        <v>389</v>
      </c>
      <c r="C1355" s="1252"/>
      <c r="D1355" s="1252"/>
      <c r="E1355" s="1252"/>
      <c r="F1355" s="1253"/>
      <c r="G1355" s="1226">
        <f>IF(L1354=TRUE,0,1)</f>
        <v>1</v>
      </c>
      <c r="H1355" s="1227"/>
      <c r="I1355" s="824"/>
      <c r="J1355" s="1063" t="s">
        <v>54</v>
      </c>
      <c r="K1355" s="1064"/>
      <c r="L1355" s="1064"/>
      <c r="M1355" s="1064"/>
      <c r="N1355" s="1064"/>
      <c r="O1355" s="1064"/>
      <c r="P1355" s="1064"/>
      <c r="Q1355" s="775"/>
      <c r="R1355" s="775"/>
      <c r="S1355" s="775"/>
      <c r="T1355" s="775"/>
    </row>
  </sheetData>
  <sheetProtection sheet="1" objects="1" scenarios="1" selectLockedCells="1"/>
  <mergeCells count="3683">
    <mergeCell ref="J238:K238"/>
    <mergeCell ref="J234:L234"/>
    <mergeCell ref="J498:L498"/>
    <mergeCell ref="J497:L497"/>
    <mergeCell ref="J496:L496"/>
    <mergeCell ref="J239:P239"/>
    <mergeCell ref="P489:P490"/>
    <mergeCell ref="J491:J492"/>
    <mergeCell ref="L491:L492"/>
    <mergeCell ref="M491:M492"/>
    <mergeCell ref="J1338:L1338"/>
    <mergeCell ref="J1354:K1354"/>
    <mergeCell ref="J1355:P1355"/>
    <mergeCell ref="L1350:N1350"/>
    <mergeCell ref="O1351:P1351"/>
    <mergeCell ref="J1334:L1334"/>
    <mergeCell ref="J1335:L1335"/>
    <mergeCell ref="J1336:L1336"/>
    <mergeCell ref="J1337:L1337"/>
    <mergeCell ref="J1333:L1333"/>
    <mergeCell ref="K1326:K1327"/>
    <mergeCell ref="K1328:K1329"/>
    <mergeCell ref="K1330:K1332"/>
    <mergeCell ref="J1326:J1327"/>
    <mergeCell ref="J1330:J1332"/>
    <mergeCell ref="L1330:L1332"/>
    <mergeCell ref="J1328:J1329"/>
    <mergeCell ref="K1305:K1306"/>
    <mergeCell ref="K1307:K1308"/>
    <mergeCell ref="K1311:K1312"/>
    <mergeCell ref="K1313:K1314"/>
    <mergeCell ref="K1286:K1288"/>
    <mergeCell ref="K1289:K1300"/>
    <mergeCell ref="K1301:K1302"/>
    <mergeCell ref="K1303:K1304"/>
    <mergeCell ref="K1278:K1279"/>
    <mergeCell ref="K1280:K1281"/>
    <mergeCell ref="K1282:K1283"/>
    <mergeCell ref="K1284:K1285"/>
    <mergeCell ref="K1245:K1256"/>
    <mergeCell ref="K1257:K1258"/>
    <mergeCell ref="K1259:K1260"/>
    <mergeCell ref="K1261:K1262"/>
    <mergeCell ref="K1236:K1237"/>
    <mergeCell ref="K1238:K1239"/>
    <mergeCell ref="K1240:K1241"/>
    <mergeCell ref="K1242:K1244"/>
    <mergeCell ref="K1213:K1214"/>
    <mergeCell ref="K1215:K1216"/>
    <mergeCell ref="K1217:K1218"/>
    <mergeCell ref="K1219:K1220"/>
    <mergeCell ref="K1196:K1197"/>
    <mergeCell ref="K1198:K1200"/>
    <mergeCell ref="K1201:K1212"/>
    <mergeCell ref="K1157:K1168"/>
    <mergeCell ref="K1181:K1182"/>
    <mergeCell ref="K1190:K1191"/>
    <mergeCell ref="K1175:K1176"/>
    <mergeCell ref="K1179:K1180"/>
    <mergeCell ref="J1059:L1059"/>
    <mergeCell ref="J1058:L1058"/>
    <mergeCell ref="J1057:L1057"/>
    <mergeCell ref="J1078:K1078"/>
    <mergeCell ref="L1071:N1071"/>
    <mergeCell ref="J1071:K1071"/>
    <mergeCell ref="J1075:K1075"/>
    <mergeCell ref="J1076:N1076"/>
    <mergeCell ref="K1148:K1149"/>
    <mergeCell ref="K1125:K1126"/>
    <mergeCell ref="K1127:K1128"/>
    <mergeCell ref="K1129:K1130"/>
    <mergeCell ref="K1131:K1132"/>
    <mergeCell ref="J1056:L1056"/>
    <mergeCell ref="J1055:L1055"/>
    <mergeCell ref="J1054:L1054"/>
    <mergeCell ref="K1173:K1174"/>
    <mergeCell ref="K1150:K1151"/>
    <mergeCell ref="K1169:K1170"/>
    <mergeCell ref="K1171:K1172"/>
    <mergeCell ref="L1157:L1168"/>
    <mergeCell ref="K1079:K1090"/>
    <mergeCell ref="K1091:K1101"/>
    <mergeCell ref="J1125:J1126"/>
    <mergeCell ref="L1125:L1132"/>
    <mergeCell ref="M1125:M1132"/>
    <mergeCell ref="N1125:N1129"/>
    <mergeCell ref="K1024:K1025"/>
    <mergeCell ref="K1026:K1027"/>
    <mergeCell ref="K1043:K1044"/>
    <mergeCell ref="K1045:K1046"/>
    <mergeCell ref="K966:K977"/>
    <mergeCell ref="K978:K979"/>
    <mergeCell ref="K980:K981"/>
    <mergeCell ref="K1022:K1023"/>
    <mergeCell ref="K955:K956"/>
    <mergeCell ref="K957:K958"/>
    <mergeCell ref="K959:K960"/>
    <mergeCell ref="K961:K962"/>
    <mergeCell ref="K922:K933"/>
    <mergeCell ref="K934:K935"/>
    <mergeCell ref="K936:K937"/>
    <mergeCell ref="K946:K947"/>
    <mergeCell ref="K878:K889"/>
    <mergeCell ref="K890:K891"/>
    <mergeCell ref="K892:K893"/>
    <mergeCell ref="K894:K895"/>
    <mergeCell ref="K62:K63"/>
    <mergeCell ref="K64:K65"/>
    <mergeCell ref="K46:K47"/>
    <mergeCell ref="K49:K50"/>
    <mergeCell ref="K51:K52"/>
    <mergeCell ref="K58:K59"/>
    <mergeCell ref="K10:K17"/>
    <mergeCell ref="K18:K24"/>
    <mergeCell ref="K25:K31"/>
    <mergeCell ref="K60:K61"/>
    <mergeCell ref="K32:K39"/>
    <mergeCell ref="K40:K41"/>
    <mergeCell ref="K42:K43"/>
    <mergeCell ref="K44:K45"/>
    <mergeCell ref="J3:K3"/>
    <mergeCell ref="J4:K4"/>
    <mergeCell ref="J5:K5"/>
    <mergeCell ref="J6:K6"/>
    <mergeCell ref="G186:H186"/>
    <mergeCell ref="G187:H187"/>
    <mergeCell ref="G1109:H1109"/>
    <mergeCell ref="G1110:H1110"/>
    <mergeCell ref="G1087:H1087"/>
    <mergeCell ref="G1080:H1080"/>
    <mergeCell ref="G1081:H1081"/>
    <mergeCell ref="G1049:H1049"/>
    <mergeCell ref="G1050:H1050"/>
    <mergeCell ref="G1051:H1051"/>
    <mergeCell ref="G1088:H1088"/>
    <mergeCell ref="G1089:H1089"/>
    <mergeCell ref="G1090:I1090"/>
    <mergeCell ref="G1098:H1098"/>
    <mergeCell ref="G1052:H1052"/>
    <mergeCell ref="M966:M977"/>
    <mergeCell ref="Q966:T977"/>
    <mergeCell ref="O966:O968"/>
    <mergeCell ref="P966:P968"/>
    <mergeCell ref="Q1010:T1021"/>
    <mergeCell ref="O1010:O1012"/>
    <mergeCell ref="O1022:O1026"/>
    <mergeCell ref="P1022:P1026"/>
    <mergeCell ref="Q1022:Q1025"/>
    <mergeCell ref="P1010:P1012"/>
    <mergeCell ref="G918:H918"/>
    <mergeCell ref="J966:J977"/>
    <mergeCell ref="L966:L977"/>
    <mergeCell ref="G967:H967"/>
    <mergeCell ref="G936:H936"/>
    <mergeCell ref="G937:H937"/>
    <mergeCell ref="G938:H938"/>
    <mergeCell ref="G939:H939"/>
    <mergeCell ref="G940:H940"/>
    <mergeCell ref="K919:K921"/>
    <mergeCell ref="G851:H851"/>
    <mergeCell ref="G850:H850"/>
    <mergeCell ref="G849:H849"/>
    <mergeCell ref="G914:H914"/>
    <mergeCell ref="G915:H915"/>
    <mergeCell ref="G916:H916"/>
    <mergeCell ref="G917:H917"/>
    <mergeCell ref="G902:H902"/>
    <mergeCell ref="G900:H900"/>
    <mergeCell ref="G848:H848"/>
    <mergeCell ref="L1010:L1021"/>
    <mergeCell ref="M1010:M1021"/>
    <mergeCell ref="G970:H970"/>
    <mergeCell ref="G922:H922"/>
    <mergeCell ref="G903:H903"/>
    <mergeCell ref="G911:H911"/>
    <mergeCell ref="G912:H912"/>
    <mergeCell ref="G919:H919"/>
    <mergeCell ref="G913:H913"/>
    <mergeCell ref="J766:J767"/>
    <mergeCell ref="O751:P752"/>
    <mergeCell ref="G748:H748"/>
    <mergeCell ref="G749:H749"/>
    <mergeCell ref="J764:J765"/>
    <mergeCell ref="L764:L765"/>
    <mergeCell ref="K753:K754"/>
    <mergeCell ref="K755:K756"/>
    <mergeCell ref="K764:K765"/>
    <mergeCell ref="J753:J754"/>
    <mergeCell ref="C1135:C1145"/>
    <mergeCell ref="G1079:H1079"/>
    <mergeCell ref="Q1113:T1124"/>
    <mergeCell ref="D1125:D1134"/>
    <mergeCell ref="C1125:C1134"/>
    <mergeCell ref="O1113:O1115"/>
    <mergeCell ref="Q1091:R1101"/>
    <mergeCell ref="M1102:M1112"/>
    <mergeCell ref="Q1102:R1112"/>
    <mergeCell ref="N1091:N1092"/>
    <mergeCell ref="B1121:B1124"/>
    <mergeCell ref="B1125:B1134"/>
    <mergeCell ref="G1113:H1113"/>
    <mergeCell ref="G1125:H1125"/>
    <mergeCell ref="D1121:D1124"/>
    <mergeCell ref="C1121:C1124"/>
    <mergeCell ref="G1118:H1118"/>
    <mergeCell ref="G1119:H1119"/>
    <mergeCell ref="G1120:H1120"/>
    <mergeCell ref="G1117:H1117"/>
    <mergeCell ref="B1102:B1112"/>
    <mergeCell ref="C1109:C1112"/>
    <mergeCell ref="J1102:J1112"/>
    <mergeCell ref="L1102:L1112"/>
    <mergeCell ref="G1111:I1111"/>
    <mergeCell ref="G1112:H1112"/>
    <mergeCell ref="K1102:K1112"/>
    <mergeCell ref="B1091:B1101"/>
    <mergeCell ref="C1098:C1101"/>
    <mergeCell ref="G1099:H1099"/>
    <mergeCell ref="Q1079:S1090"/>
    <mergeCell ref="J1079:J1090"/>
    <mergeCell ref="L1079:L1090"/>
    <mergeCell ref="M1079:M1090"/>
    <mergeCell ref="O1079:O1080"/>
    <mergeCell ref="P1079:P1080"/>
    <mergeCell ref="N1079:N1080"/>
    <mergeCell ref="B1022:B1031"/>
    <mergeCell ref="B1032:B1042"/>
    <mergeCell ref="B1043:B1053"/>
    <mergeCell ref="B1018:B1021"/>
    <mergeCell ref="C1018:C1021"/>
    <mergeCell ref="D1010:D1017"/>
    <mergeCell ref="C1010:C1017"/>
    <mergeCell ref="D1051:D1053"/>
    <mergeCell ref="C1043:C1053"/>
    <mergeCell ref="C1032:C1042"/>
    <mergeCell ref="C1022:C1031"/>
    <mergeCell ref="D1022:D1031"/>
    <mergeCell ref="D1032:D1042"/>
    <mergeCell ref="D1043:D1050"/>
    <mergeCell ref="D1018:D1021"/>
    <mergeCell ref="K1010:K1021"/>
    <mergeCell ref="G1020:H1020"/>
    <mergeCell ref="G1021:I1021"/>
    <mergeCell ref="J1010:J1021"/>
    <mergeCell ref="G1018:H1018"/>
    <mergeCell ref="D596:D598"/>
    <mergeCell ref="C588:C598"/>
    <mergeCell ref="B588:B598"/>
    <mergeCell ref="C567:C576"/>
    <mergeCell ref="D567:D576"/>
    <mergeCell ref="C577:C587"/>
    <mergeCell ref="D577:D587"/>
    <mergeCell ref="B577:B587"/>
    <mergeCell ref="B567:B576"/>
    <mergeCell ref="D588:D595"/>
    <mergeCell ref="G562:H562"/>
    <mergeCell ref="G556:H556"/>
    <mergeCell ref="K594:K595"/>
    <mergeCell ref="J573:J574"/>
    <mergeCell ref="G561:H561"/>
    <mergeCell ref="K555:K566"/>
    <mergeCell ref="K592:K593"/>
    <mergeCell ref="J569:J570"/>
    <mergeCell ref="G555:H555"/>
    <mergeCell ref="G559:H559"/>
    <mergeCell ref="B555:B562"/>
    <mergeCell ref="B563:B566"/>
    <mergeCell ref="M533:M543"/>
    <mergeCell ref="M555:M566"/>
    <mergeCell ref="C555:C562"/>
    <mergeCell ref="C563:C566"/>
    <mergeCell ref="D555:D562"/>
    <mergeCell ref="D563:D566"/>
    <mergeCell ref="G557:H557"/>
    <mergeCell ref="G534:H534"/>
    <mergeCell ref="Q533:R543"/>
    <mergeCell ref="B544:B554"/>
    <mergeCell ref="C551:C554"/>
    <mergeCell ref="J544:J554"/>
    <mergeCell ref="L544:L554"/>
    <mergeCell ref="M544:M554"/>
    <mergeCell ref="Q544:R554"/>
    <mergeCell ref="J533:J543"/>
    <mergeCell ref="G538:H538"/>
    <mergeCell ref="G533:H533"/>
    <mergeCell ref="G523:H523"/>
    <mergeCell ref="D526:F526"/>
    <mergeCell ref="D527:F527"/>
    <mergeCell ref="D523:F523"/>
    <mergeCell ref="G526:H526"/>
    <mergeCell ref="G522:H522"/>
    <mergeCell ref="Q521:S532"/>
    <mergeCell ref="B796:F796"/>
    <mergeCell ref="G796:I796"/>
    <mergeCell ref="D791:F791"/>
    <mergeCell ref="G791:I791"/>
    <mergeCell ref="G792:I792"/>
    <mergeCell ref="G656:H656"/>
    <mergeCell ref="G685:H685"/>
    <mergeCell ref="G528:H528"/>
    <mergeCell ref="B775:B780"/>
    <mergeCell ref="L533:L543"/>
    <mergeCell ref="G1302:H1302"/>
    <mergeCell ref="G1312:H1312"/>
    <mergeCell ref="G1303:H1303"/>
    <mergeCell ref="G1304:H1304"/>
    <mergeCell ref="B1010:B1017"/>
    <mergeCell ref="B783:F783"/>
    <mergeCell ref="G783:H783"/>
    <mergeCell ref="B784:F784"/>
    <mergeCell ref="G1313:H1313"/>
    <mergeCell ref="G1314:H1314"/>
    <mergeCell ref="G1305:H1305"/>
    <mergeCell ref="G1308:H1308"/>
    <mergeCell ref="G1311:H1311"/>
    <mergeCell ref="G1328:H1328"/>
    <mergeCell ref="G1329:H1329"/>
    <mergeCell ref="G1322:H1322"/>
    <mergeCell ref="G1323:H1323"/>
    <mergeCell ref="G1324:H1324"/>
    <mergeCell ref="G1325:H1325"/>
    <mergeCell ref="G1327:H1327"/>
    <mergeCell ref="G1326:H1326"/>
    <mergeCell ref="G797:H797"/>
    <mergeCell ref="G793:H793"/>
    <mergeCell ref="G794:H794"/>
    <mergeCell ref="G789:H789"/>
    <mergeCell ref="G809:H809"/>
    <mergeCell ref="G810:H810"/>
    <mergeCell ref="D790:F790"/>
    <mergeCell ref="G790:H790"/>
    <mergeCell ref="B797:F797"/>
    <mergeCell ref="B793:F793"/>
    <mergeCell ref="B794:F794"/>
    <mergeCell ref="B798:F798"/>
    <mergeCell ref="G798:H798"/>
    <mergeCell ref="G807:H807"/>
    <mergeCell ref="G1285:H1285"/>
    <mergeCell ref="G1286:H1286"/>
    <mergeCell ref="G1306:H1306"/>
    <mergeCell ref="G1307:H1307"/>
    <mergeCell ref="G1295:H1295"/>
    <mergeCell ref="G1296:H1296"/>
    <mergeCell ref="G1287:H1287"/>
    <mergeCell ref="G1301:H1301"/>
    <mergeCell ref="G1298:H1298"/>
    <mergeCell ref="G1299:H1299"/>
    <mergeCell ref="G1281:H1281"/>
    <mergeCell ref="G1282:H1282"/>
    <mergeCell ref="G1283:H1283"/>
    <mergeCell ref="G1284:H1284"/>
    <mergeCell ref="G1258:H1258"/>
    <mergeCell ref="G1259:H1259"/>
    <mergeCell ref="G1252:H1252"/>
    <mergeCell ref="G1248:I1248"/>
    <mergeCell ref="G1249:H1249"/>
    <mergeCell ref="G1250:H1250"/>
    <mergeCell ref="G1251:H1251"/>
    <mergeCell ref="G1253:H1253"/>
    <mergeCell ref="G1240:H1240"/>
    <mergeCell ref="G1241:H1241"/>
    <mergeCell ref="G1243:H1243"/>
    <mergeCell ref="G1257:H1257"/>
    <mergeCell ref="G1254:H1254"/>
    <mergeCell ref="G1255:H1255"/>
    <mergeCell ref="G1256:I1256"/>
    <mergeCell ref="G1236:H1236"/>
    <mergeCell ref="G1237:H1237"/>
    <mergeCell ref="G1238:H1238"/>
    <mergeCell ref="G1239:H1239"/>
    <mergeCell ref="G1225:H1225"/>
    <mergeCell ref="G1226:H1226"/>
    <mergeCell ref="G1234:H1234"/>
    <mergeCell ref="G1235:H1235"/>
    <mergeCell ref="G1219:H1219"/>
    <mergeCell ref="G1220:H1220"/>
    <mergeCell ref="G1223:H1223"/>
    <mergeCell ref="G1224:H1224"/>
    <mergeCell ref="G1215:H1215"/>
    <mergeCell ref="G1216:H1216"/>
    <mergeCell ref="G1217:H1217"/>
    <mergeCell ref="G1218:H1218"/>
    <mergeCell ref="G1190:H1190"/>
    <mergeCell ref="G1191:H1191"/>
    <mergeCell ref="G1192:H1192"/>
    <mergeCell ref="G1180:H1180"/>
    <mergeCell ref="G1181:H1181"/>
    <mergeCell ref="G1182:H1182"/>
    <mergeCell ref="G1174:H1174"/>
    <mergeCell ref="G1175:H1175"/>
    <mergeCell ref="G1176:H1176"/>
    <mergeCell ref="G1179:H1179"/>
    <mergeCell ref="G1170:H1170"/>
    <mergeCell ref="G1171:H1171"/>
    <mergeCell ref="G1172:H1172"/>
    <mergeCell ref="G1173:H1173"/>
    <mergeCell ref="B1077:F1077"/>
    <mergeCell ref="G1077:H1077"/>
    <mergeCell ref="G1061:I1061"/>
    <mergeCell ref="G1169:H1169"/>
    <mergeCell ref="B1113:B1120"/>
    <mergeCell ref="B1135:B1145"/>
    <mergeCell ref="B1146:B1156"/>
    <mergeCell ref="D1135:D1145"/>
    <mergeCell ref="D1146:D1153"/>
    <mergeCell ref="D1154:D1156"/>
    <mergeCell ref="B785:F785"/>
    <mergeCell ref="G785:H785"/>
    <mergeCell ref="B786:C788"/>
    <mergeCell ref="D786:F786"/>
    <mergeCell ref="G786:H786"/>
    <mergeCell ref="D787:F787"/>
    <mergeCell ref="D788:F788"/>
    <mergeCell ref="G788:H788"/>
    <mergeCell ref="G617:H617"/>
    <mergeCell ref="G616:H616"/>
    <mergeCell ref="G633:H633"/>
    <mergeCell ref="D789:F789"/>
    <mergeCell ref="G680:H680"/>
    <mergeCell ref="G681:H681"/>
    <mergeCell ref="G682:H682"/>
    <mergeCell ref="G691:H691"/>
    <mergeCell ref="G735:H735"/>
    <mergeCell ref="G731:H731"/>
    <mergeCell ref="D521:F521"/>
    <mergeCell ref="G514:H514"/>
    <mergeCell ref="B515:F515"/>
    <mergeCell ref="G515:H515"/>
    <mergeCell ref="B519:F519"/>
    <mergeCell ref="G519:H519"/>
    <mergeCell ref="B518:F518"/>
    <mergeCell ref="B517:F517"/>
    <mergeCell ref="G521:H521"/>
    <mergeCell ref="D528:F528"/>
    <mergeCell ref="G527:H527"/>
    <mergeCell ref="C544:C550"/>
    <mergeCell ref="D524:F524"/>
    <mergeCell ref="G544:H544"/>
    <mergeCell ref="G546:I546"/>
    <mergeCell ref="G547:H547"/>
    <mergeCell ref="G550:H550"/>
    <mergeCell ref="G549:H549"/>
    <mergeCell ref="G524:I524"/>
    <mergeCell ref="B533:B543"/>
    <mergeCell ref="B521:B532"/>
    <mergeCell ref="C529:C532"/>
    <mergeCell ref="C540:C543"/>
    <mergeCell ref="C533:C539"/>
    <mergeCell ref="C521:C528"/>
    <mergeCell ref="G513:I513"/>
    <mergeCell ref="G511:H511"/>
    <mergeCell ref="B516:F516"/>
    <mergeCell ref="G503:I503"/>
    <mergeCell ref="G490:H490"/>
    <mergeCell ref="G491:H491"/>
    <mergeCell ref="G492:H492"/>
    <mergeCell ref="G512:I512"/>
    <mergeCell ref="G486:H486"/>
    <mergeCell ref="G487:H487"/>
    <mergeCell ref="G488:H488"/>
    <mergeCell ref="G489:H489"/>
    <mergeCell ref="G475:H475"/>
    <mergeCell ref="G476:H476"/>
    <mergeCell ref="G477:H477"/>
    <mergeCell ref="G485:H485"/>
    <mergeCell ref="G452:H452"/>
    <mergeCell ref="G457:H457"/>
    <mergeCell ref="G458:H458"/>
    <mergeCell ref="G469:H469"/>
    <mergeCell ref="G460:H460"/>
    <mergeCell ref="G461:H461"/>
    <mergeCell ref="G462:H462"/>
    <mergeCell ref="G463:I463"/>
    <mergeCell ref="G464:H464"/>
    <mergeCell ref="G465:H465"/>
    <mergeCell ref="G412:H412"/>
    <mergeCell ref="G446:H446"/>
    <mergeCell ref="G447:H447"/>
    <mergeCell ref="G448:H448"/>
    <mergeCell ref="G423:H423"/>
    <mergeCell ref="G424:H424"/>
    <mergeCell ref="G425:H425"/>
    <mergeCell ref="G427:H427"/>
    <mergeCell ref="G444:H444"/>
    <mergeCell ref="G445:H445"/>
    <mergeCell ref="G405:H405"/>
    <mergeCell ref="G406:H406"/>
    <mergeCell ref="G420:H420"/>
    <mergeCell ref="G421:H421"/>
    <mergeCell ref="G408:H408"/>
    <mergeCell ref="G409:H409"/>
    <mergeCell ref="G411:I411"/>
    <mergeCell ref="G414:H414"/>
    <mergeCell ref="G419:I419"/>
    <mergeCell ref="G410:H410"/>
    <mergeCell ref="G401:H401"/>
    <mergeCell ref="G402:H402"/>
    <mergeCell ref="G403:H403"/>
    <mergeCell ref="G404:H404"/>
    <mergeCell ref="G397:H397"/>
    <mergeCell ref="G398:H398"/>
    <mergeCell ref="G399:H399"/>
    <mergeCell ref="G400:H400"/>
    <mergeCell ref="G386:H386"/>
    <mergeCell ref="G387:H387"/>
    <mergeCell ref="G388:H388"/>
    <mergeCell ref="G389:H389"/>
    <mergeCell ref="G368:H368"/>
    <mergeCell ref="G369:H369"/>
    <mergeCell ref="G378:H378"/>
    <mergeCell ref="G379:H379"/>
    <mergeCell ref="G360:H360"/>
    <mergeCell ref="G361:H361"/>
    <mergeCell ref="G362:H362"/>
    <mergeCell ref="G376:H376"/>
    <mergeCell ref="G365:H365"/>
    <mergeCell ref="G370:H370"/>
    <mergeCell ref="G364:H364"/>
    <mergeCell ref="G371:H371"/>
    <mergeCell ref="G366:H366"/>
    <mergeCell ref="G367:I367"/>
    <mergeCell ref="G356:H356"/>
    <mergeCell ref="G357:H357"/>
    <mergeCell ref="G358:H358"/>
    <mergeCell ref="G359:H359"/>
    <mergeCell ref="G345:H345"/>
    <mergeCell ref="G353:H353"/>
    <mergeCell ref="G354:H354"/>
    <mergeCell ref="G355:H355"/>
    <mergeCell ref="G339:H339"/>
    <mergeCell ref="G342:H342"/>
    <mergeCell ref="G343:H343"/>
    <mergeCell ref="G344:H344"/>
    <mergeCell ref="G335:H335"/>
    <mergeCell ref="G336:H336"/>
    <mergeCell ref="G337:H337"/>
    <mergeCell ref="G338:H338"/>
    <mergeCell ref="G333:H333"/>
    <mergeCell ref="G321:H321"/>
    <mergeCell ref="G334:H334"/>
    <mergeCell ref="G325:H325"/>
    <mergeCell ref="G326:H326"/>
    <mergeCell ref="G332:H332"/>
    <mergeCell ref="G327:H327"/>
    <mergeCell ref="G318:H318"/>
    <mergeCell ref="G320:H320"/>
    <mergeCell ref="G324:H324"/>
    <mergeCell ref="G323:I323"/>
    <mergeCell ref="G322:H322"/>
    <mergeCell ref="G299:H299"/>
    <mergeCell ref="G315:H315"/>
    <mergeCell ref="G316:H316"/>
    <mergeCell ref="G317:H317"/>
    <mergeCell ref="G313:H313"/>
    <mergeCell ref="G314:H314"/>
    <mergeCell ref="G310:H310"/>
    <mergeCell ref="G311:H311"/>
    <mergeCell ref="G309:H309"/>
    <mergeCell ref="G289:H289"/>
    <mergeCell ref="G290:H290"/>
    <mergeCell ref="G291:H291"/>
    <mergeCell ref="G292:H292"/>
    <mergeCell ref="G295:H295"/>
    <mergeCell ref="G298:H298"/>
    <mergeCell ref="G301:H301"/>
    <mergeCell ref="G300:H300"/>
    <mergeCell ref="G293:H293"/>
    <mergeCell ref="G232:H232"/>
    <mergeCell ref="G266:H266"/>
    <mergeCell ref="G267:I267"/>
    <mergeCell ref="G264:H264"/>
    <mergeCell ref="G260:H260"/>
    <mergeCell ref="G247:H247"/>
    <mergeCell ref="G238:I238"/>
    <mergeCell ref="G239:H239"/>
    <mergeCell ref="G243:H243"/>
    <mergeCell ref="G1151:H1151"/>
    <mergeCell ref="G1152:H1152"/>
    <mergeCell ref="G1153:H1153"/>
    <mergeCell ref="G1154:H1154"/>
    <mergeCell ref="G1148:H1148"/>
    <mergeCell ref="G1149:H1149"/>
    <mergeCell ref="G1150:H1150"/>
    <mergeCell ref="G122:H122"/>
    <mergeCell ref="G123:H123"/>
    <mergeCell ref="G139:H139"/>
    <mergeCell ref="G127:H127"/>
    <mergeCell ref="G128:H128"/>
    <mergeCell ref="G129:H129"/>
    <mergeCell ref="G130:H130"/>
    <mergeCell ref="G198:H198"/>
    <mergeCell ref="G199:H199"/>
    <mergeCell ref="G200:H200"/>
    <mergeCell ref="G201:H201"/>
    <mergeCell ref="G287:I287"/>
    <mergeCell ref="I233:I234"/>
    <mergeCell ref="G230:I231"/>
    <mergeCell ref="G233:H234"/>
    <mergeCell ref="G269:H269"/>
    <mergeCell ref="G270:H270"/>
    <mergeCell ref="G271:H271"/>
    <mergeCell ref="G284:H284"/>
    <mergeCell ref="G279:I279"/>
    <mergeCell ref="G281:H281"/>
    <mergeCell ref="G459:H459"/>
    <mergeCell ref="G454:H454"/>
    <mergeCell ref="G455:I455"/>
    <mergeCell ref="G494:H494"/>
    <mergeCell ref="G470:H470"/>
    <mergeCell ref="G471:H471"/>
    <mergeCell ref="G466:H466"/>
    <mergeCell ref="G467:H467"/>
    <mergeCell ref="G468:H468"/>
    <mergeCell ref="G474:H474"/>
    <mergeCell ref="P493:P494"/>
    <mergeCell ref="N493:N494"/>
    <mergeCell ref="L493:L495"/>
    <mergeCell ref="M493:M495"/>
    <mergeCell ref="K493:K495"/>
    <mergeCell ref="G493:H493"/>
    <mergeCell ref="N491:N492"/>
    <mergeCell ref="O491:O492"/>
    <mergeCell ref="O493:O494"/>
    <mergeCell ref="P491:P492"/>
    <mergeCell ref="L489:L490"/>
    <mergeCell ref="O489:O490"/>
    <mergeCell ref="O487:O488"/>
    <mergeCell ref="P487:P488"/>
    <mergeCell ref="M489:M490"/>
    <mergeCell ref="L487:L488"/>
    <mergeCell ref="M487:M488"/>
    <mergeCell ref="N487:N488"/>
    <mergeCell ref="O485:O486"/>
    <mergeCell ref="P485:P486"/>
    <mergeCell ref="L485:L486"/>
    <mergeCell ref="M485:M486"/>
    <mergeCell ref="N485:N486"/>
    <mergeCell ref="N479:N481"/>
    <mergeCell ref="O479:O481"/>
    <mergeCell ref="P479:P481"/>
    <mergeCell ref="N483:N484"/>
    <mergeCell ref="O483:P484"/>
    <mergeCell ref="Q474:Q475"/>
    <mergeCell ref="J476:J477"/>
    <mergeCell ref="N477:N478"/>
    <mergeCell ref="O477:O478"/>
    <mergeCell ref="P477:P478"/>
    <mergeCell ref="J474:J475"/>
    <mergeCell ref="L474:L477"/>
    <mergeCell ref="M474:M477"/>
    <mergeCell ref="K476:K477"/>
    <mergeCell ref="O469:O470"/>
    <mergeCell ref="J470:J471"/>
    <mergeCell ref="M464:M471"/>
    <mergeCell ref="N464:N468"/>
    <mergeCell ref="O464:O468"/>
    <mergeCell ref="L464:L471"/>
    <mergeCell ref="J466:J467"/>
    <mergeCell ref="J468:J469"/>
    <mergeCell ref="N469:N470"/>
    <mergeCell ref="K464:K465"/>
    <mergeCell ref="P276:P278"/>
    <mergeCell ref="P361:P362"/>
    <mergeCell ref="Q288:Q291"/>
    <mergeCell ref="Q298:Q299"/>
    <mergeCell ref="P301:P302"/>
    <mergeCell ref="Q276:T287"/>
    <mergeCell ref="Q320:T331"/>
    <mergeCell ref="Q332:Q335"/>
    <mergeCell ref="O340:P341"/>
    <mergeCell ref="O345:O346"/>
    <mergeCell ref="O408:O410"/>
    <mergeCell ref="Q430:Q431"/>
    <mergeCell ref="P405:P406"/>
    <mergeCell ref="O391:O393"/>
    <mergeCell ref="Q420:Q423"/>
    <mergeCell ref="P408:P410"/>
    <mergeCell ref="O420:O424"/>
    <mergeCell ref="P420:P424"/>
    <mergeCell ref="O405:O406"/>
    <mergeCell ref="P391:P393"/>
    <mergeCell ref="Q464:Q467"/>
    <mergeCell ref="P464:P468"/>
    <mergeCell ref="O445:O446"/>
    <mergeCell ref="P445:P446"/>
    <mergeCell ref="Q452:T463"/>
    <mergeCell ref="N452:N454"/>
    <mergeCell ref="O452:O454"/>
    <mergeCell ref="P452:P454"/>
    <mergeCell ref="J452:J463"/>
    <mergeCell ref="M452:M463"/>
    <mergeCell ref="G894:H894"/>
    <mergeCell ref="J359:J360"/>
    <mergeCell ref="G274:I274"/>
    <mergeCell ref="G509:H509"/>
    <mergeCell ref="G506:H506"/>
    <mergeCell ref="J447:J448"/>
    <mergeCell ref="J311:J312"/>
    <mergeCell ref="G286:H286"/>
    <mergeCell ref="G285:H285"/>
    <mergeCell ref="G312:H312"/>
    <mergeCell ref="G882:H882"/>
    <mergeCell ref="G893:H893"/>
    <mergeCell ref="G889:I889"/>
    <mergeCell ref="G886:H886"/>
    <mergeCell ref="G887:H887"/>
    <mergeCell ref="G892:H892"/>
    <mergeCell ref="G824:H824"/>
    <mergeCell ref="G821:I821"/>
    <mergeCell ref="G964:H964"/>
    <mergeCell ref="G963:H963"/>
    <mergeCell ref="G958:H958"/>
    <mergeCell ref="G955:H955"/>
    <mergeCell ref="G957:H957"/>
    <mergeCell ref="G901:H901"/>
    <mergeCell ref="G880:H880"/>
    <mergeCell ref="G881:I881"/>
    <mergeCell ref="G811:I811"/>
    <mergeCell ref="G822:H822"/>
    <mergeCell ref="G814:I814"/>
    <mergeCell ref="G819:H819"/>
    <mergeCell ref="G820:H820"/>
    <mergeCell ref="G812:H812"/>
    <mergeCell ref="G282:H282"/>
    <mergeCell ref="G283:H283"/>
    <mergeCell ref="G160:H160"/>
    <mergeCell ref="B236:F236"/>
    <mergeCell ref="G236:I236"/>
    <mergeCell ref="G229:H229"/>
    <mergeCell ref="B229:B234"/>
    <mergeCell ref="B235:F235"/>
    <mergeCell ref="G235:H235"/>
    <mergeCell ref="G221:H221"/>
    <mergeCell ref="G222:H222"/>
    <mergeCell ref="G223:H223"/>
    <mergeCell ref="G14:H14"/>
    <mergeCell ref="G21:H21"/>
    <mergeCell ref="G23:H23"/>
    <mergeCell ref="G17:H17"/>
    <mergeCell ref="G19:H19"/>
    <mergeCell ref="G22:H22"/>
    <mergeCell ref="G16:H16"/>
    <mergeCell ref="G37:H37"/>
    <mergeCell ref="M724:M725"/>
    <mergeCell ref="M684:M686"/>
    <mergeCell ref="M720:M721"/>
    <mergeCell ref="J722:J723"/>
    <mergeCell ref="M722:M723"/>
    <mergeCell ref="J709:J710"/>
    <mergeCell ref="M709:M712"/>
    <mergeCell ref="J711:J712"/>
    <mergeCell ref="L724:L725"/>
    <mergeCell ref="L722:L723"/>
    <mergeCell ref="J720:J721"/>
    <mergeCell ref="J724:J725"/>
    <mergeCell ref="J676:J677"/>
    <mergeCell ref="K709:K710"/>
    <mergeCell ref="K711:K712"/>
    <mergeCell ref="J680:J681"/>
    <mergeCell ref="J596:J598"/>
    <mergeCell ref="L596:L598"/>
    <mergeCell ref="J590:J591"/>
    <mergeCell ref="L590:L591"/>
    <mergeCell ref="J594:J595"/>
    <mergeCell ref="J592:J593"/>
    <mergeCell ref="L592:L593"/>
    <mergeCell ref="K590:K591"/>
    <mergeCell ref="K596:K598"/>
    <mergeCell ref="K447:K448"/>
    <mergeCell ref="M590:M591"/>
    <mergeCell ref="J588:J589"/>
    <mergeCell ref="J432:J433"/>
    <mergeCell ref="L430:L433"/>
    <mergeCell ref="M430:M433"/>
    <mergeCell ref="J430:J431"/>
    <mergeCell ref="K430:K431"/>
    <mergeCell ref="K432:K433"/>
    <mergeCell ref="M449:M451"/>
    <mergeCell ref="J361:J363"/>
    <mergeCell ref="J317:J319"/>
    <mergeCell ref="M317:M319"/>
    <mergeCell ref="L317:L319"/>
    <mergeCell ref="J344:J345"/>
    <mergeCell ref="J342:J343"/>
    <mergeCell ref="L342:L345"/>
    <mergeCell ref="M342:M345"/>
    <mergeCell ref="L361:L363"/>
    <mergeCell ref="M361:M363"/>
    <mergeCell ref="J386:J387"/>
    <mergeCell ref="L386:L389"/>
    <mergeCell ref="M386:M389"/>
    <mergeCell ref="J388:J389"/>
    <mergeCell ref="K386:K387"/>
    <mergeCell ref="K388:K389"/>
    <mergeCell ref="M207:M210"/>
    <mergeCell ref="M218:M219"/>
    <mergeCell ref="M220:M221"/>
    <mergeCell ref="M222:M223"/>
    <mergeCell ref="M224:M225"/>
    <mergeCell ref="M226:M228"/>
    <mergeCell ref="L298:L301"/>
    <mergeCell ref="J300:J301"/>
    <mergeCell ref="J290:J291"/>
    <mergeCell ref="L276:L287"/>
    <mergeCell ref="J298:J299"/>
    <mergeCell ref="J276:J287"/>
    <mergeCell ref="L224:L225"/>
    <mergeCell ref="J233:L233"/>
    <mergeCell ref="L186:L188"/>
    <mergeCell ref="L218:L219"/>
    <mergeCell ref="J220:J221"/>
    <mergeCell ref="L220:L221"/>
    <mergeCell ref="L197:L204"/>
    <mergeCell ref="J186:J188"/>
    <mergeCell ref="J218:J219"/>
    <mergeCell ref="J209:J210"/>
    <mergeCell ref="L189:L196"/>
    <mergeCell ref="K218:K219"/>
    <mergeCell ref="G35:I35"/>
    <mergeCell ref="G34:H34"/>
    <mergeCell ref="G36:H36"/>
    <mergeCell ref="G159:H159"/>
    <mergeCell ref="G158:H158"/>
    <mergeCell ref="G157:H157"/>
    <mergeCell ref="G154:H154"/>
    <mergeCell ref="G156:H156"/>
    <mergeCell ref="G155:H155"/>
    <mergeCell ref="G42:H42"/>
    <mergeCell ref="G43:H43"/>
    <mergeCell ref="G152:I152"/>
    <mergeCell ref="G151:H151"/>
    <mergeCell ref="G124:H124"/>
    <mergeCell ref="G69:H69"/>
    <mergeCell ref="G70:H70"/>
    <mergeCell ref="G71:H71"/>
    <mergeCell ref="G73:H73"/>
    <mergeCell ref="G138:H138"/>
    <mergeCell ref="G107:H107"/>
    <mergeCell ref="G59:H59"/>
    <mergeCell ref="G117:H117"/>
    <mergeCell ref="G153:H153"/>
    <mergeCell ref="G113:H113"/>
    <mergeCell ref="G114:H114"/>
    <mergeCell ref="G115:H115"/>
    <mergeCell ref="G116:H116"/>
    <mergeCell ref="G140:H140"/>
    <mergeCell ref="G141:H141"/>
    <mergeCell ref="G109:H109"/>
    <mergeCell ref="G50:H50"/>
    <mergeCell ref="G51:H51"/>
    <mergeCell ref="G52:H52"/>
    <mergeCell ref="G58:H58"/>
    <mergeCell ref="G44:H44"/>
    <mergeCell ref="G45:H45"/>
    <mergeCell ref="G46:H46"/>
    <mergeCell ref="G47:H47"/>
    <mergeCell ref="G110:H110"/>
    <mergeCell ref="G142:H142"/>
    <mergeCell ref="G143:H143"/>
    <mergeCell ref="G118:H118"/>
    <mergeCell ref="G119:H119"/>
    <mergeCell ref="G120:H120"/>
    <mergeCell ref="G121:H121"/>
    <mergeCell ref="G111:H111"/>
    <mergeCell ref="G112:I112"/>
    <mergeCell ref="G966:H966"/>
    <mergeCell ref="G808:H808"/>
    <mergeCell ref="M728:M730"/>
    <mergeCell ref="M731:M742"/>
    <mergeCell ref="J728:J730"/>
    <mergeCell ref="L728:L730"/>
    <mergeCell ref="J731:J742"/>
    <mergeCell ref="L731:L742"/>
    <mergeCell ref="K728:K730"/>
    <mergeCell ref="K731:K742"/>
    <mergeCell ref="P812:P813"/>
    <mergeCell ref="N800:N801"/>
    <mergeCell ref="I1058:I1059"/>
    <mergeCell ref="B1054:B1059"/>
    <mergeCell ref="C1054:C1059"/>
    <mergeCell ref="D1054:D1059"/>
    <mergeCell ref="G1055:I1056"/>
    <mergeCell ref="G968:H968"/>
    <mergeCell ref="E1055:F1056"/>
    <mergeCell ref="G969:I969"/>
    <mergeCell ref="O630:P631"/>
    <mergeCell ref="O544:O545"/>
    <mergeCell ref="P544:P545"/>
    <mergeCell ref="O533:O534"/>
    <mergeCell ref="P533:P534"/>
    <mergeCell ref="P572:P573"/>
    <mergeCell ref="P596:P597"/>
    <mergeCell ref="P611:P615"/>
    <mergeCell ref="O588:O589"/>
    <mergeCell ref="P588:P589"/>
    <mergeCell ref="N391:N393"/>
    <mergeCell ref="O718:P719"/>
    <mergeCell ref="O443:O444"/>
    <mergeCell ref="P443:P444"/>
    <mergeCell ref="N439:N440"/>
    <mergeCell ref="O439:P440"/>
    <mergeCell ref="O575:P576"/>
    <mergeCell ref="N582:N584"/>
    <mergeCell ref="O663:P664"/>
    <mergeCell ref="P643:P645"/>
    <mergeCell ref="N386:N388"/>
    <mergeCell ref="O386:O388"/>
    <mergeCell ref="O389:O390"/>
    <mergeCell ref="P389:P390"/>
    <mergeCell ref="P386:P388"/>
    <mergeCell ref="N389:N390"/>
    <mergeCell ref="O361:O362"/>
    <mergeCell ref="Q376:Q379"/>
    <mergeCell ref="O381:O382"/>
    <mergeCell ref="P381:P382"/>
    <mergeCell ref="O376:O380"/>
    <mergeCell ref="P376:P380"/>
    <mergeCell ref="Q386:Q387"/>
    <mergeCell ref="N265:N266"/>
    <mergeCell ref="O265:O266"/>
    <mergeCell ref="N428:N429"/>
    <mergeCell ref="O428:P429"/>
    <mergeCell ref="N405:N406"/>
    <mergeCell ref="O296:P297"/>
    <mergeCell ref="N340:N341"/>
    <mergeCell ref="N307:N308"/>
    <mergeCell ref="P265:P266"/>
    <mergeCell ref="N197:N201"/>
    <mergeCell ref="O441:O442"/>
    <mergeCell ref="P293:P294"/>
    <mergeCell ref="O425:O426"/>
    <mergeCell ref="P425:P426"/>
    <mergeCell ref="O353:O354"/>
    <mergeCell ref="P353:P354"/>
    <mergeCell ref="P298:P300"/>
    <mergeCell ref="O303:O305"/>
    <mergeCell ref="O384:P385"/>
    <mergeCell ref="N361:N362"/>
    <mergeCell ref="P186:P187"/>
    <mergeCell ref="P242:P243"/>
    <mergeCell ref="N254:N255"/>
    <mergeCell ref="O254:O255"/>
    <mergeCell ref="P254:P255"/>
    <mergeCell ref="N242:N243"/>
    <mergeCell ref="N189:N191"/>
    <mergeCell ref="O189:O191"/>
    <mergeCell ref="P189:P191"/>
    <mergeCell ref="O242:O243"/>
    <mergeCell ref="B149:B188"/>
    <mergeCell ref="C149:C188"/>
    <mergeCell ref="D149:D188"/>
    <mergeCell ref="M182:M183"/>
    <mergeCell ref="J157:J158"/>
    <mergeCell ref="L157:L164"/>
    <mergeCell ref="M157:M164"/>
    <mergeCell ref="J163:J164"/>
    <mergeCell ref="J169:J170"/>
    <mergeCell ref="J167:J168"/>
    <mergeCell ref="M186:M188"/>
    <mergeCell ref="G150:H150"/>
    <mergeCell ref="G149:H149"/>
    <mergeCell ref="L180:L181"/>
    <mergeCell ref="M180:M181"/>
    <mergeCell ref="J178:J179"/>
    <mergeCell ref="L178:L179"/>
    <mergeCell ref="M178:M179"/>
    <mergeCell ref="J180:J181"/>
    <mergeCell ref="C32:C68"/>
    <mergeCell ref="D32:D68"/>
    <mergeCell ref="N49:N51"/>
    <mergeCell ref="M40:M47"/>
    <mergeCell ref="J40:J41"/>
    <mergeCell ref="G32:H32"/>
    <mergeCell ref="G38:H38"/>
    <mergeCell ref="N32:N33"/>
    <mergeCell ref="N45:N47"/>
    <mergeCell ref="G49:H49"/>
    <mergeCell ref="O18:O19"/>
    <mergeCell ref="P18:P19"/>
    <mergeCell ref="P64:P65"/>
    <mergeCell ref="O32:O33"/>
    <mergeCell ref="P32:P33"/>
    <mergeCell ref="O54:O56"/>
    <mergeCell ref="P54:P56"/>
    <mergeCell ref="P40:P44"/>
    <mergeCell ref="O49:O51"/>
    <mergeCell ref="P49:P51"/>
    <mergeCell ref="O77:O81"/>
    <mergeCell ref="N127:N129"/>
    <mergeCell ref="O117:O121"/>
    <mergeCell ref="P117:P121"/>
    <mergeCell ref="P127:P129"/>
    <mergeCell ref="P92:P94"/>
    <mergeCell ref="P106:P107"/>
    <mergeCell ref="N102:N103"/>
    <mergeCell ref="O92:O94"/>
    <mergeCell ref="O122:O123"/>
    <mergeCell ref="O25:O26"/>
    <mergeCell ref="P25:P26"/>
    <mergeCell ref="O60:O61"/>
    <mergeCell ref="P87:P89"/>
    <mergeCell ref="O45:O47"/>
    <mergeCell ref="P45:P47"/>
    <mergeCell ref="O64:O65"/>
    <mergeCell ref="O66:O67"/>
    <mergeCell ref="O69:O71"/>
    <mergeCell ref="O62:O63"/>
    <mergeCell ref="N184:N185"/>
    <mergeCell ref="N288:N292"/>
    <mergeCell ref="N320:N322"/>
    <mergeCell ref="N357:N358"/>
    <mergeCell ref="N205:N206"/>
    <mergeCell ref="N222:N223"/>
    <mergeCell ref="N276:N278"/>
    <mergeCell ref="N296:N297"/>
    <mergeCell ref="N337:N338"/>
    <mergeCell ref="N342:N344"/>
    <mergeCell ref="N162:N163"/>
    <mergeCell ref="P162:P163"/>
    <mergeCell ref="O162:O163"/>
    <mergeCell ref="N178:N179"/>
    <mergeCell ref="N165:N166"/>
    <mergeCell ref="O165:P166"/>
    <mergeCell ref="N172:N174"/>
    <mergeCell ref="P172:P174"/>
    <mergeCell ref="P167:P169"/>
    <mergeCell ref="O136:P137"/>
    <mergeCell ref="N132:N134"/>
    <mergeCell ref="O132:O134"/>
    <mergeCell ref="P132:P134"/>
    <mergeCell ref="P640:P641"/>
    <mergeCell ref="N643:N645"/>
    <mergeCell ref="N85:N86"/>
    <mergeCell ref="O85:P86"/>
    <mergeCell ref="N125:N126"/>
    <mergeCell ref="O125:P126"/>
    <mergeCell ref="P122:P123"/>
    <mergeCell ref="N96:N97"/>
    <mergeCell ref="O96:P97"/>
    <mergeCell ref="N136:N137"/>
    <mergeCell ref="N630:N631"/>
    <mergeCell ref="N616:N617"/>
    <mergeCell ref="N596:N597"/>
    <mergeCell ref="O596:O597"/>
    <mergeCell ref="O616:O617"/>
    <mergeCell ref="N619:N620"/>
    <mergeCell ref="O619:P620"/>
    <mergeCell ref="P616:P617"/>
    <mergeCell ref="N611:N615"/>
    <mergeCell ref="O611:O615"/>
    <mergeCell ref="N640:N641"/>
    <mergeCell ref="O687:O689"/>
    <mergeCell ref="P687:P689"/>
    <mergeCell ref="N684:N685"/>
    <mergeCell ref="O684:O685"/>
    <mergeCell ref="P684:P685"/>
    <mergeCell ref="N687:N689"/>
    <mergeCell ref="N674:N675"/>
    <mergeCell ref="O674:P675"/>
    <mergeCell ref="O640:O641"/>
    <mergeCell ref="N670:N672"/>
    <mergeCell ref="N384:N385"/>
    <mergeCell ref="N575:N576"/>
    <mergeCell ref="N408:N410"/>
    <mergeCell ref="N544:N545"/>
    <mergeCell ref="N474:N476"/>
    <mergeCell ref="N489:N490"/>
    <mergeCell ref="N472:N473"/>
    <mergeCell ref="N663:N664"/>
    <mergeCell ref="N665:N667"/>
    <mergeCell ref="G724:H724"/>
    <mergeCell ref="G725:H725"/>
    <mergeCell ref="G722:H722"/>
    <mergeCell ref="C775:C780"/>
    <mergeCell ref="D775:D780"/>
    <mergeCell ref="E779:F780"/>
    <mergeCell ref="G770:H770"/>
    <mergeCell ref="G771:H771"/>
    <mergeCell ref="G775:H775"/>
    <mergeCell ref="G769:H769"/>
    <mergeCell ref="L753:L756"/>
    <mergeCell ref="J726:J727"/>
    <mergeCell ref="M726:M727"/>
    <mergeCell ref="J743:J744"/>
    <mergeCell ref="L743:L750"/>
    <mergeCell ref="J745:J746"/>
    <mergeCell ref="J747:J748"/>
    <mergeCell ref="J755:J756"/>
    <mergeCell ref="L726:L727"/>
    <mergeCell ref="P724:P725"/>
    <mergeCell ref="P728:P729"/>
    <mergeCell ref="P726:P727"/>
    <mergeCell ref="O728:O729"/>
    <mergeCell ref="N728:N729"/>
    <mergeCell ref="N720:N721"/>
    <mergeCell ref="O720:O721"/>
    <mergeCell ref="N718:N719"/>
    <mergeCell ref="N726:N727"/>
    <mergeCell ref="O726:O727"/>
    <mergeCell ref="O724:O725"/>
    <mergeCell ref="N724:N725"/>
    <mergeCell ref="N722:N723"/>
    <mergeCell ref="O722:O723"/>
    <mergeCell ref="N714:N716"/>
    <mergeCell ref="O714:O716"/>
    <mergeCell ref="Q709:Q710"/>
    <mergeCell ref="N712:N713"/>
    <mergeCell ref="P709:P711"/>
    <mergeCell ref="O709:O711"/>
    <mergeCell ref="N709:N711"/>
    <mergeCell ref="P722:P723"/>
    <mergeCell ref="P720:P721"/>
    <mergeCell ref="O712:O713"/>
    <mergeCell ref="P714:P716"/>
    <mergeCell ref="P712:P713"/>
    <mergeCell ref="N704:N705"/>
    <mergeCell ref="O704:O705"/>
    <mergeCell ref="N707:N708"/>
    <mergeCell ref="P704:P705"/>
    <mergeCell ref="O707:P708"/>
    <mergeCell ref="O699:O703"/>
    <mergeCell ref="P699:P703"/>
    <mergeCell ref="Q699:Q702"/>
    <mergeCell ref="J701:J702"/>
    <mergeCell ref="J699:J700"/>
    <mergeCell ref="L699:L706"/>
    <mergeCell ref="M699:M706"/>
    <mergeCell ref="N699:N703"/>
    <mergeCell ref="J703:J704"/>
    <mergeCell ref="J705:J706"/>
    <mergeCell ref="M682:M683"/>
    <mergeCell ref="M676:M677"/>
    <mergeCell ref="L678:L679"/>
    <mergeCell ref="M678:M679"/>
    <mergeCell ref="L680:L681"/>
    <mergeCell ref="M680:M681"/>
    <mergeCell ref="L676:L677"/>
    <mergeCell ref="L682:L683"/>
    <mergeCell ref="N680:N681"/>
    <mergeCell ref="O680:O681"/>
    <mergeCell ref="P680:P681"/>
    <mergeCell ref="O676:O677"/>
    <mergeCell ref="P676:P677"/>
    <mergeCell ref="N676:N677"/>
    <mergeCell ref="O670:O672"/>
    <mergeCell ref="P670:P672"/>
    <mergeCell ref="P665:P667"/>
    <mergeCell ref="Q655:Q658"/>
    <mergeCell ref="Q665:Q666"/>
    <mergeCell ref="O665:O667"/>
    <mergeCell ref="O668:O669"/>
    <mergeCell ref="P668:P669"/>
    <mergeCell ref="P655:P659"/>
    <mergeCell ref="P660:P661"/>
    <mergeCell ref="L665:L668"/>
    <mergeCell ref="M665:M668"/>
    <mergeCell ref="J667:J668"/>
    <mergeCell ref="N668:N669"/>
    <mergeCell ref="J665:J666"/>
    <mergeCell ref="M655:M662"/>
    <mergeCell ref="N655:N659"/>
    <mergeCell ref="O655:O659"/>
    <mergeCell ref="O660:O661"/>
    <mergeCell ref="N660:N661"/>
    <mergeCell ref="L655:L662"/>
    <mergeCell ref="J661:J662"/>
    <mergeCell ref="K655:K656"/>
    <mergeCell ref="K657:K658"/>
    <mergeCell ref="K659:K660"/>
    <mergeCell ref="K661:K662"/>
    <mergeCell ref="J657:J658"/>
    <mergeCell ref="J659:J660"/>
    <mergeCell ref="J655:J656"/>
    <mergeCell ref="J678:J679"/>
    <mergeCell ref="J682:J683"/>
    <mergeCell ref="J684:J686"/>
    <mergeCell ref="M638:M639"/>
    <mergeCell ref="J640:J642"/>
    <mergeCell ref="L640:L642"/>
    <mergeCell ref="M640:M642"/>
    <mergeCell ref="J638:J639"/>
    <mergeCell ref="L638:L639"/>
    <mergeCell ref="K640:K642"/>
    <mergeCell ref="J875:J877"/>
    <mergeCell ref="J856:J857"/>
    <mergeCell ref="J768:J769"/>
    <mergeCell ref="J772:J774"/>
    <mergeCell ref="J873:J874"/>
    <mergeCell ref="J871:J872"/>
    <mergeCell ref="J848:J849"/>
    <mergeCell ref="J850:J851"/>
    <mergeCell ref="J867:J868"/>
    <mergeCell ref="J869:J870"/>
    <mergeCell ref="L684:L686"/>
    <mergeCell ref="I779:I780"/>
    <mergeCell ref="E776:F777"/>
    <mergeCell ref="L709:L712"/>
    <mergeCell ref="L720:L721"/>
    <mergeCell ref="L772:L774"/>
    <mergeCell ref="G776:I777"/>
    <mergeCell ref="G736:H736"/>
    <mergeCell ref="G738:H738"/>
    <mergeCell ref="G746:H746"/>
    <mergeCell ref="L636:L637"/>
    <mergeCell ref="M636:M637"/>
    <mergeCell ref="N632:N633"/>
    <mergeCell ref="M632:M633"/>
    <mergeCell ref="L634:L635"/>
    <mergeCell ref="M634:M635"/>
    <mergeCell ref="L632:L633"/>
    <mergeCell ref="N636:N637"/>
    <mergeCell ref="O636:O637"/>
    <mergeCell ref="P636:P637"/>
    <mergeCell ref="O632:O633"/>
    <mergeCell ref="P632:P633"/>
    <mergeCell ref="Q621:Q622"/>
    <mergeCell ref="O624:O625"/>
    <mergeCell ref="P624:P625"/>
    <mergeCell ref="N626:N628"/>
    <mergeCell ref="O626:O628"/>
    <mergeCell ref="P626:P628"/>
    <mergeCell ref="N624:N625"/>
    <mergeCell ref="N621:N623"/>
    <mergeCell ref="O621:O623"/>
    <mergeCell ref="P621:P623"/>
    <mergeCell ref="J621:J622"/>
    <mergeCell ref="L621:L624"/>
    <mergeCell ref="M621:M624"/>
    <mergeCell ref="J623:J624"/>
    <mergeCell ref="K621:K622"/>
    <mergeCell ref="K623:K624"/>
    <mergeCell ref="Q611:Q614"/>
    <mergeCell ref="M611:M618"/>
    <mergeCell ref="G601:H601"/>
    <mergeCell ref="J613:J614"/>
    <mergeCell ref="J615:J616"/>
    <mergeCell ref="G613:H613"/>
    <mergeCell ref="G612:H612"/>
    <mergeCell ref="G602:I602"/>
    <mergeCell ref="G611:H611"/>
    <mergeCell ref="J611:J612"/>
    <mergeCell ref="J636:J637"/>
    <mergeCell ref="J634:J635"/>
    <mergeCell ref="J632:J633"/>
    <mergeCell ref="G615:H615"/>
    <mergeCell ref="G635:H635"/>
    <mergeCell ref="G636:H636"/>
    <mergeCell ref="G637:H637"/>
    <mergeCell ref="G621:H621"/>
    <mergeCell ref="G618:H618"/>
    <mergeCell ref="J617:J618"/>
    <mergeCell ref="L594:L595"/>
    <mergeCell ref="M594:M595"/>
    <mergeCell ref="M596:M598"/>
    <mergeCell ref="L611:L618"/>
    <mergeCell ref="M592:M593"/>
    <mergeCell ref="N592:N593"/>
    <mergeCell ref="O592:O593"/>
    <mergeCell ref="P592:P593"/>
    <mergeCell ref="L588:L589"/>
    <mergeCell ref="M588:M589"/>
    <mergeCell ref="N588:N589"/>
    <mergeCell ref="N586:N587"/>
    <mergeCell ref="Q577:Q578"/>
    <mergeCell ref="O582:O584"/>
    <mergeCell ref="P582:P584"/>
    <mergeCell ref="P580:P581"/>
    <mergeCell ref="M577:M580"/>
    <mergeCell ref="N577:N579"/>
    <mergeCell ref="O577:O579"/>
    <mergeCell ref="O586:P587"/>
    <mergeCell ref="P577:P579"/>
    <mergeCell ref="O572:O573"/>
    <mergeCell ref="K569:K570"/>
    <mergeCell ref="N580:N581"/>
    <mergeCell ref="O580:O581"/>
    <mergeCell ref="L567:L574"/>
    <mergeCell ref="M567:M574"/>
    <mergeCell ref="N572:N573"/>
    <mergeCell ref="K571:K572"/>
    <mergeCell ref="K573:K574"/>
    <mergeCell ref="L577:L580"/>
    <mergeCell ref="Q567:Q570"/>
    <mergeCell ref="N555:N557"/>
    <mergeCell ref="O555:O557"/>
    <mergeCell ref="P555:P557"/>
    <mergeCell ref="Q555:T566"/>
    <mergeCell ref="N567:N571"/>
    <mergeCell ref="O567:O571"/>
    <mergeCell ref="P567:P571"/>
    <mergeCell ref="N533:N534"/>
    <mergeCell ref="Q157:Q160"/>
    <mergeCell ref="Q149:T156"/>
    <mergeCell ref="Q167:Q168"/>
    <mergeCell ref="O182:O183"/>
    <mergeCell ref="P182:P183"/>
    <mergeCell ref="O170:O171"/>
    <mergeCell ref="P170:P171"/>
    <mergeCell ref="O167:O169"/>
    <mergeCell ref="N176:N177"/>
    <mergeCell ref="P184:P185"/>
    <mergeCell ref="O184:O185"/>
    <mergeCell ref="O176:P177"/>
    <mergeCell ref="P178:P179"/>
    <mergeCell ref="O180:O181"/>
    <mergeCell ref="P180:P181"/>
    <mergeCell ref="L167:L170"/>
    <mergeCell ref="M167:M170"/>
    <mergeCell ref="N167:N169"/>
    <mergeCell ref="N170:N171"/>
    <mergeCell ref="P149:P151"/>
    <mergeCell ref="N157:N161"/>
    <mergeCell ref="O157:O161"/>
    <mergeCell ref="P157:P161"/>
    <mergeCell ref="O149:O151"/>
    <mergeCell ref="M184:M185"/>
    <mergeCell ref="N182:N183"/>
    <mergeCell ref="J117:J118"/>
    <mergeCell ref="J142:J143"/>
    <mergeCell ref="J123:J124"/>
    <mergeCell ref="M142:M143"/>
    <mergeCell ref="J140:J141"/>
    <mergeCell ref="L140:L141"/>
    <mergeCell ref="M140:M141"/>
    <mergeCell ref="N138:N139"/>
    <mergeCell ref="P142:P143"/>
    <mergeCell ref="P146:P147"/>
    <mergeCell ref="O172:O174"/>
    <mergeCell ref="C229:C234"/>
    <mergeCell ref="D229:D234"/>
    <mergeCell ref="O178:O179"/>
    <mergeCell ref="O186:O187"/>
    <mergeCell ref="N186:N187"/>
    <mergeCell ref="J184:J185"/>
    <mergeCell ref="L184:L185"/>
    <mergeCell ref="D109:D148"/>
    <mergeCell ref="C109:C148"/>
    <mergeCell ref="N146:N147"/>
    <mergeCell ref="O146:O147"/>
    <mergeCell ref="N142:N143"/>
    <mergeCell ref="O142:O143"/>
    <mergeCell ref="O127:O129"/>
    <mergeCell ref="O138:O139"/>
    <mergeCell ref="J109:J116"/>
    <mergeCell ref="J121:J122"/>
    <mergeCell ref="P138:P139"/>
    <mergeCell ref="J138:J139"/>
    <mergeCell ref="L138:L139"/>
    <mergeCell ref="M138:M139"/>
    <mergeCell ref="K138:K139"/>
    <mergeCell ref="Q117:Q120"/>
    <mergeCell ref="P109:P111"/>
    <mergeCell ref="J127:J128"/>
    <mergeCell ref="L127:L130"/>
    <mergeCell ref="M127:M130"/>
    <mergeCell ref="Q127:Q128"/>
    <mergeCell ref="J129:J130"/>
    <mergeCell ref="N130:N131"/>
    <mergeCell ref="O130:O131"/>
    <mergeCell ref="P130:P131"/>
    <mergeCell ref="Q87:Q88"/>
    <mergeCell ref="N90:N91"/>
    <mergeCell ref="O90:O91"/>
    <mergeCell ref="P90:P91"/>
    <mergeCell ref="N87:N89"/>
    <mergeCell ref="O87:O89"/>
    <mergeCell ref="P62:P63"/>
    <mergeCell ref="P52:P53"/>
    <mergeCell ref="O52:O53"/>
    <mergeCell ref="P60:P61"/>
    <mergeCell ref="N3:P6"/>
    <mergeCell ref="N82:N83"/>
    <mergeCell ref="O82:O83"/>
    <mergeCell ref="P82:P83"/>
    <mergeCell ref="N40:N44"/>
    <mergeCell ref="O40:O44"/>
    <mergeCell ref="N52:N53"/>
    <mergeCell ref="N54:N56"/>
    <mergeCell ref="O10:O11"/>
    <mergeCell ref="P10:P11"/>
    <mergeCell ref="J49:J50"/>
    <mergeCell ref="J102:J103"/>
    <mergeCell ref="L102:L103"/>
    <mergeCell ref="P77:P81"/>
    <mergeCell ref="M60:M61"/>
    <mergeCell ref="M62:M63"/>
    <mergeCell ref="P69:P71"/>
    <mergeCell ref="M69:M76"/>
    <mergeCell ref="M77:M84"/>
    <mergeCell ref="N77:N81"/>
    <mergeCell ref="Q40:Q43"/>
    <mergeCell ref="Q77:Q80"/>
    <mergeCell ref="M32:M39"/>
    <mergeCell ref="M49:M52"/>
    <mergeCell ref="N64:N65"/>
    <mergeCell ref="Q49:Q50"/>
    <mergeCell ref="Q69:T76"/>
    <mergeCell ref="P66:P67"/>
    <mergeCell ref="O58:O59"/>
    <mergeCell ref="P58:P59"/>
    <mergeCell ref="L4:L5"/>
    <mergeCell ref="L32:L39"/>
    <mergeCell ref="Q2:T2"/>
    <mergeCell ref="Q4:R4"/>
    <mergeCell ref="Q5:S5"/>
    <mergeCell ref="Q6:T6"/>
    <mergeCell ref="Q10:S17"/>
    <mergeCell ref="Q18:R24"/>
    <mergeCell ref="Q25:R31"/>
    <mergeCell ref="Q32:T39"/>
    <mergeCell ref="N66:N67"/>
    <mergeCell ref="C10:C17"/>
    <mergeCell ref="C18:C24"/>
    <mergeCell ref="G8:H8"/>
    <mergeCell ref="G10:H10"/>
    <mergeCell ref="G13:I13"/>
    <mergeCell ref="G20:I20"/>
    <mergeCell ref="L40:L47"/>
    <mergeCell ref="L49:L52"/>
    <mergeCell ref="J51:J52"/>
    <mergeCell ref="G33:H33"/>
    <mergeCell ref="G18:H18"/>
    <mergeCell ref="G25:H25"/>
    <mergeCell ref="G29:H29"/>
    <mergeCell ref="G30:H30"/>
    <mergeCell ref="G31:H31"/>
    <mergeCell ref="G27:I27"/>
    <mergeCell ref="G24:H24"/>
    <mergeCell ref="G26:H26"/>
    <mergeCell ref="G12:H12"/>
    <mergeCell ref="G15:H15"/>
    <mergeCell ref="J44:J45"/>
    <mergeCell ref="J46:J47"/>
    <mergeCell ref="J18:J24"/>
    <mergeCell ref="J10:J17"/>
    <mergeCell ref="J42:J43"/>
    <mergeCell ref="J32:J39"/>
    <mergeCell ref="G28:H28"/>
    <mergeCell ref="G11:H11"/>
    <mergeCell ref="M25:M31"/>
    <mergeCell ref="M18:M24"/>
    <mergeCell ref="L10:L17"/>
    <mergeCell ref="M10:M17"/>
    <mergeCell ref="L18:L24"/>
    <mergeCell ref="L25:L31"/>
    <mergeCell ref="C25:C31"/>
    <mergeCell ref="J25:J31"/>
    <mergeCell ref="J79:J80"/>
    <mergeCell ref="J60:J61"/>
    <mergeCell ref="J62:J63"/>
    <mergeCell ref="G39:H39"/>
    <mergeCell ref="G74:H74"/>
    <mergeCell ref="G75:H75"/>
    <mergeCell ref="G72:I72"/>
    <mergeCell ref="G76:H76"/>
    <mergeCell ref="M87:M90"/>
    <mergeCell ref="J87:J88"/>
    <mergeCell ref="J89:J90"/>
    <mergeCell ref="L77:L84"/>
    <mergeCell ref="L87:L90"/>
    <mergeCell ref="J77:J78"/>
    <mergeCell ref="J81:J82"/>
    <mergeCell ref="J83:J84"/>
    <mergeCell ref="K77:K78"/>
    <mergeCell ref="K79:K80"/>
    <mergeCell ref="M146:M148"/>
    <mergeCell ref="L146:L148"/>
    <mergeCell ref="J146:J148"/>
    <mergeCell ref="M109:M116"/>
    <mergeCell ref="L109:L116"/>
    <mergeCell ref="M117:M124"/>
    <mergeCell ref="L117:L124"/>
    <mergeCell ref="J119:J120"/>
    <mergeCell ref="L142:L143"/>
    <mergeCell ref="K119:K120"/>
    <mergeCell ref="N58:N59"/>
    <mergeCell ref="N62:N63"/>
    <mergeCell ref="M64:M65"/>
    <mergeCell ref="M58:M59"/>
    <mergeCell ref="N60:N61"/>
    <mergeCell ref="L98:L99"/>
    <mergeCell ref="J98:J99"/>
    <mergeCell ref="L58:L59"/>
    <mergeCell ref="L60:L61"/>
    <mergeCell ref="L62:L63"/>
    <mergeCell ref="L64:L65"/>
    <mergeCell ref="J64:J65"/>
    <mergeCell ref="J58:J59"/>
    <mergeCell ref="K69:K76"/>
    <mergeCell ref="K81:K82"/>
    <mergeCell ref="M100:M101"/>
    <mergeCell ref="P98:P99"/>
    <mergeCell ref="N98:N99"/>
    <mergeCell ref="O98:O99"/>
    <mergeCell ref="M98:M99"/>
    <mergeCell ref="Q109:T116"/>
    <mergeCell ref="O102:O103"/>
    <mergeCell ref="P102:P103"/>
    <mergeCell ref="J182:J183"/>
    <mergeCell ref="L182:L183"/>
    <mergeCell ref="J149:J156"/>
    <mergeCell ref="M144:M145"/>
    <mergeCell ref="L149:L156"/>
    <mergeCell ref="M149:M156"/>
    <mergeCell ref="J144:J145"/>
    <mergeCell ref="C69:C108"/>
    <mergeCell ref="D69:D108"/>
    <mergeCell ref="N69:N71"/>
    <mergeCell ref="N180:N181"/>
    <mergeCell ref="N149:N151"/>
    <mergeCell ref="J159:J160"/>
    <mergeCell ref="J161:J162"/>
    <mergeCell ref="M106:M108"/>
    <mergeCell ref="G82:H82"/>
    <mergeCell ref="N122:N123"/>
    <mergeCell ref="M66:M68"/>
    <mergeCell ref="M104:M105"/>
    <mergeCell ref="M102:M103"/>
    <mergeCell ref="J104:J105"/>
    <mergeCell ref="L104:L105"/>
    <mergeCell ref="L69:L76"/>
    <mergeCell ref="J66:J68"/>
    <mergeCell ref="L66:L68"/>
    <mergeCell ref="J100:J101"/>
    <mergeCell ref="L100:L101"/>
    <mergeCell ref="N109:N111"/>
    <mergeCell ref="N92:N94"/>
    <mergeCell ref="N117:N121"/>
    <mergeCell ref="O109:O111"/>
    <mergeCell ref="N106:N107"/>
    <mergeCell ref="O106:O107"/>
    <mergeCell ref="B10:B17"/>
    <mergeCell ref="B18:B24"/>
    <mergeCell ref="B25:B31"/>
    <mergeCell ref="B69:B108"/>
    <mergeCell ref="B32:B68"/>
    <mergeCell ref="B109:B148"/>
    <mergeCell ref="L144:L145"/>
    <mergeCell ref="J69:J76"/>
    <mergeCell ref="J106:J108"/>
    <mergeCell ref="L106:L108"/>
    <mergeCell ref="G77:H77"/>
    <mergeCell ref="G78:H78"/>
    <mergeCell ref="G79:H79"/>
    <mergeCell ref="G80:H80"/>
    <mergeCell ref="G81:H81"/>
    <mergeCell ref="L242:L253"/>
    <mergeCell ref="C254:C260"/>
    <mergeCell ref="G249:H249"/>
    <mergeCell ref="G258:H258"/>
    <mergeCell ref="G245:I245"/>
    <mergeCell ref="G242:H242"/>
    <mergeCell ref="K242:K253"/>
    <mergeCell ref="J242:J253"/>
    <mergeCell ref="G253:I253"/>
    <mergeCell ref="G248:H248"/>
    <mergeCell ref="O288:O292"/>
    <mergeCell ref="K290:K291"/>
    <mergeCell ref="M298:M301"/>
    <mergeCell ref="M276:M287"/>
    <mergeCell ref="K292:K293"/>
    <mergeCell ref="K294:K295"/>
    <mergeCell ref="K298:K299"/>
    <mergeCell ref="K300:K301"/>
    <mergeCell ref="N301:N302"/>
    <mergeCell ref="O301:O302"/>
    <mergeCell ref="N298:N300"/>
    <mergeCell ref="N293:N294"/>
    <mergeCell ref="O298:O300"/>
    <mergeCell ref="O293:O294"/>
    <mergeCell ref="P288:P292"/>
    <mergeCell ref="O276:O278"/>
    <mergeCell ref="J315:J316"/>
    <mergeCell ref="J288:J289"/>
    <mergeCell ref="L288:L295"/>
    <mergeCell ref="M288:M295"/>
    <mergeCell ref="L311:L312"/>
    <mergeCell ref="M311:M312"/>
    <mergeCell ref="M313:M314"/>
    <mergeCell ref="P303:P305"/>
    <mergeCell ref="P309:P310"/>
    <mergeCell ref="O307:P308"/>
    <mergeCell ref="K309:K310"/>
    <mergeCell ref="N309:N310"/>
    <mergeCell ref="L309:L310"/>
    <mergeCell ref="M309:M310"/>
    <mergeCell ref="O309:O310"/>
    <mergeCell ref="N303:N305"/>
    <mergeCell ref="L320:L331"/>
    <mergeCell ref="M320:M331"/>
    <mergeCell ref="P313:P314"/>
    <mergeCell ref="N313:N314"/>
    <mergeCell ref="O313:O314"/>
    <mergeCell ref="L315:L316"/>
    <mergeCell ref="M315:M316"/>
    <mergeCell ref="O317:O318"/>
    <mergeCell ref="N317:N318"/>
    <mergeCell ref="L313:L314"/>
    <mergeCell ref="P317:P318"/>
    <mergeCell ref="O320:O322"/>
    <mergeCell ref="P320:P322"/>
    <mergeCell ref="O332:O336"/>
    <mergeCell ref="P332:P336"/>
    <mergeCell ref="O337:O338"/>
    <mergeCell ref="P337:P338"/>
    <mergeCell ref="J332:J333"/>
    <mergeCell ref="L332:L339"/>
    <mergeCell ref="M332:M339"/>
    <mergeCell ref="N332:N336"/>
    <mergeCell ref="J338:J339"/>
    <mergeCell ref="J334:J335"/>
    <mergeCell ref="J336:J337"/>
    <mergeCell ref="O342:O344"/>
    <mergeCell ref="Q342:Q343"/>
    <mergeCell ref="P342:P344"/>
    <mergeCell ref="P345:P346"/>
    <mergeCell ref="N347:N349"/>
    <mergeCell ref="O347:O349"/>
    <mergeCell ref="P347:P349"/>
    <mergeCell ref="N345:N346"/>
    <mergeCell ref="O357:O358"/>
    <mergeCell ref="P357:P358"/>
    <mergeCell ref="N351:N352"/>
    <mergeCell ref="L359:L360"/>
    <mergeCell ref="M359:M360"/>
    <mergeCell ref="M357:M358"/>
    <mergeCell ref="M353:M354"/>
    <mergeCell ref="M355:M356"/>
    <mergeCell ref="N353:N354"/>
    <mergeCell ref="O351:P352"/>
    <mergeCell ref="J376:J377"/>
    <mergeCell ref="L376:L383"/>
    <mergeCell ref="J353:J354"/>
    <mergeCell ref="L353:L354"/>
    <mergeCell ref="J357:J358"/>
    <mergeCell ref="L357:L358"/>
    <mergeCell ref="J355:J356"/>
    <mergeCell ref="L355:L356"/>
    <mergeCell ref="K353:K354"/>
    <mergeCell ref="K355:K356"/>
    <mergeCell ref="M376:M383"/>
    <mergeCell ref="N376:N380"/>
    <mergeCell ref="J382:J383"/>
    <mergeCell ref="N381:N382"/>
    <mergeCell ref="K376:K377"/>
    <mergeCell ref="K378:K379"/>
    <mergeCell ref="K380:K381"/>
    <mergeCell ref="K382:K383"/>
    <mergeCell ref="J380:J381"/>
    <mergeCell ref="J378:J379"/>
    <mergeCell ref="N395:N396"/>
    <mergeCell ref="N401:N402"/>
    <mergeCell ref="O401:O402"/>
    <mergeCell ref="P401:P402"/>
    <mergeCell ref="N397:N398"/>
    <mergeCell ref="O395:P396"/>
    <mergeCell ref="O397:O398"/>
    <mergeCell ref="P397:P398"/>
    <mergeCell ref="J397:J398"/>
    <mergeCell ref="L397:L398"/>
    <mergeCell ref="L401:L402"/>
    <mergeCell ref="M401:M402"/>
    <mergeCell ref="M397:M398"/>
    <mergeCell ref="L399:L400"/>
    <mergeCell ref="M399:M400"/>
    <mergeCell ref="J401:J402"/>
    <mergeCell ref="J399:J400"/>
    <mergeCell ref="K397:K398"/>
    <mergeCell ref="L403:L404"/>
    <mergeCell ref="M403:M404"/>
    <mergeCell ref="J403:J404"/>
    <mergeCell ref="J405:J407"/>
    <mergeCell ref="L405:L407"/>
    <mergeCell ref="M405:M407"/>
    <mergeCell ref="K403:K404"/>
    <mergeCell ref="K405:K407"/>
    <mergeCell ref="M420:M427"/>
    <mergeCell ref="N420:N424"/>
    <mergeCell ref="N425:N426"/>
    <mergeCell ref="J422:J423"/>
    <mergeCell ref="J424:J425"/>
    <mergeCell ref="L420:L427"/>
    <mergeCell ref="J426:J427"/>
    <mergeCell ref="J420:J421"/>
    <mergeCell ref="K426:K427"/>
    <mergeCell ref="K422:K423"/>
    <mergeCell ref="N433:N434"/>
    <mergeCell ref="O430:O432"/>
    <mergeCell ref="P430:P432"/>
    <mergeCell ref="O433:O434"/>
    <mergeCell ref="P433:P434"/>
    <mergeCell ref="N430:N432"/>
    <mergeCell ref="N435:N437"/>
    <mergeCell ref="O435:O437"/>
    <mergeCell ref="P435:P437"/>
    <mergeCell ref="N441:N442"/>
    <mergeCell ref="P441:P442"/>
    <mergeCell ref="N443:N444"/>
    <mergeCell ref="J445:J446"/>
    <mergeCell ref="L445:L446"/>
    <mergeCell ref="M445:M446"/>
    <mergeCell ref="N445:N446"/>
    <mergeCell ref="M441:M442"/>
    <mergeCell ref="J443:J444"/>
    <mergeCell ref="L443:L444"/>
    <mergeCell ref="M443:M444"/>
    <mergeCell ref="J441:J442"/>
    <mergeCell ref="L441:L442"/>
    <mergeCell ref="N447:N448"/>
    <mergeCell ref="O447:O448"/>
    <mergeCell ref="P447:P448"/>
    <mergeCell ref="L447:L448"/>
    <mergeCell ref="M447:M448"/>
    <mergeCell ref="K449:K451"/>
    <mergeCell ref="J449:J451"/>
    <mergeCell ref="L449:L451"/>
    <mergeCell ref="J464:J465"/>
    <mergeCell ref="L452:L463"/>
    <mergeCell ref="K452:K463"/>
    <mergeCell ref="J489:J490"/>
    <mergeCell ref="J487:J488"/>
    <mergeCell ref="J485:J486"/>
    <mergeCell ref="J493:J495"/>
    <mergeCell ref="N449:N450"/>
    <mergeCell ref="O449:O450"/>
    <mergeCell ref="P449:P450"/>
    <mergeCell ref="N521:N522"/>
    <mergeCell ref="O521:O522"/>
    <mergeCell ref="P521:P522"/>
    <mergeCell ref="O472:P473"/>
    <mergeCell ref="O474:O476"/>
    <mergeCell ref="P469:P470"/>
    <mergeCell ref="P474:P476"/>
    <mergeCell ref="B240:F240"/>
    <mergeCell ref="B496:B501"/>
    <mergeCell ref="C276:C283"/>
    <mergeCell ref="D276:D283"/>
    <mergeCell ref="C284:C287"/>
    <mergeCell ref="B242:B253"/>
    <mergeCell ref="C242:C249"/>
    <mergeCell ref="C250:C253"/>
    <mergeCell ref="D284:D287"/>
    <mergeCell ref="C265:C271"/>
    <mergeCell ref="I500:I501"/>
    <mergeCell ref="G500:H501"/>
    <mergeCell ref="G499:H499"/>
    <mergeCell ref="G497:I498"/>
    <mergeCell ref="G240:H240"/>
    <mergeCell ref="G265:H265"/>
    <mergeCell ref="G280:H280"/>
    <mergeCell ref="G278:H278"/>
    <mergeCell ref="G276:H276"/>
    <mergeCell ref="G256:I256"/>
    <mergeCell ref="G277:H277"/>
    <mergeCell ref="G255:H255"/>
    <mergeCell ref="G268:H268"/>
    <mergeCell ref="O800:O801"/>
    <mergeCell ref="P800:P801"/>
    <mergeCell ref="G537:H537"/>
    <mergeCell ref="G801:H801"/>
    <mergeCell ref="G568:H568"/>
    <mergeCell ref="G569:H569"/>
    <mergeCell ref="J571:J572"/>
    <mergeCell ref="J555:J566"/>
    <mergeCell ref="L555:L566"/>
    <mergeCell ref="G545:H545"/>
    <mergeCell ref="B846:B855"/>
    <mergeCell ref="B856:B866"/>
    <mergeCell ref="B867:B877"/>
    <mergeCell ref="D802:F802"/>
    <mergeCell ref="D803:F803"/>
    <mergeCell ref="D805:F805"/>
    <mergeCell ref="D806:F806"/>
    <mergeCell ref="D807:F807"/>
    <mergeCell ref="C800:C807"/>
    <mergeCell ref="D800:F800"/>
    <mergeCell ref="C867:C877"/>
    <mergeCell ref="C856:C866"/>
    <mergeCell ref="C846:C855"/>
    <mergeCell ref="G828:H828"/>
    <mergeCell ref="G829:H829"/>
    <mergeCell ref="G835:H835"/>
    <mergeCell ref="G834:H834"/>
    <mergeCell ref="G846:H846"/>
    <mergeCell ref="G837:I837"/>
    <mergeCell ref="G845:I845"/>
    <mergeCell ref="N861:N863"/>
    <mergeCell ref="O861:O863"/>
    <mergeCell ref="P861:P863"/>
    <mergeCell ref="C812:C818"/>
    <mergeCell ref="G816:H816"/>
    <mergeCell ref="N823:N824"/>
    <mergeCell ref="O823:O824"/>
    <mergeCell ref="P823:P824"/>
    <mergeCell ref="N812:N813"/>
    <mergeCell ref="O812:O813"/>
    <mergeCell ref="N865:N866"/>
    <mergeCell ref="O865:P866"/>
    <mergeCell ref="P867:P868"/>
    <mergeCell ref="N867:N868"/>
    <mergeCell ref="O867:O868"/>
    <mergeCell ref="J846:J847"/>
    <mergeCell ref="L846:L853"/>
    <mergeCell ref="M846:M853"/>
    <mergeCell ref="N846:N850"/>
    <mergeCell ref="J852:J853"/>
    <mergeCell ref="K848:K849"/>
    <mergeCell ref="K846:K847"/>
    <mergeCell ref="P856:P858"/>
    <mergeCell ref="L856:L859"/>
    <mergeCell ref="Q846:Q849"/>
    <mergeCell ref="N851:N852"/>
    <mergeCell ref="O851:O852"/>
    <mergeCell ref="P851:P852"/>
    <mergeCell ref="P846:P850"/>
    <mergeCell ref="N854:N855"/>
    <mergeCell ref="O854:P855"/>
    <mergeCell ref="O846:O850"/>
    <mergeCell ref="L867:L868"/>
    <mergeCell ref="M867:M868"/>
    <mergeCell ref="Q856:Q857"/>
    <mergeCell ref="J858:J859"/>
    <mergeCell ref="N859:N860"/>
    <mergeCell ref="O859:O860"/>
    <mergeCell ref="P859:P860"/>
    <mergeCell ref="M856:M859"/>
    <mergeCell ref="N856:N858"/>
    <mergeCell ref="O856:O858"/>
    <mergeCell ref="L871:L872"/>
    <mergeCell ref="M871:M872"/>
    <mergeCell ref="K871:K872"/>
    <mergeCell ref="L869:L870"/>
    <mergeCell ref="M869:M870"/>
    <mergeCell ref="L875:L877"/>
    <mergeCell ref="M875:M877"/>
    <mergeCell ref="P871:P872"/>
    <mergeCell ref="N871:N872"/>
    <mergeCell ref="O871:O872"/>
    <mergeCell ref="N875:N876"/>
    <mergeCell ref="O875:O876"/>
    <mergeCell ref="P875:P876"/>
    <mergeCell ref="L873:L874"/>
    <mergeCell ref="M873:M874"/>
    <mergeCell ref="N878:N880"/>
    <mergeCell ref="O878:O880"/>
    <mergeCell ref="P878:P880"/>
    <mergeCell ref="J911:J912"/>
    <mergeCell ref="P890:P894"/>
    <mergeCell ref="J900:J901"/>
    <mergeCell ref="O900:O902"/>
    <mergeCell ref="P900:P902"/>
    <mergeCell ref="N905:N907"/>
    <mergeCell ref="O905:O907"/>
    <mergeCell ref="M900:M903"/>
    <mergeCell ref="J902:J903"/>
    <mergeCell ref="N900:N902"/>
    <mergeCell ref="N898:N899"/>
    <mergeCell ref="L900:L903"/>
    <mergeCell ref="K900:K901"/>
    <mergeCell ref="K902:K903"/>
    <mergeCell ref="M890:M897"/>
    <mergeCell ref="N890:N894"/>
    <mergeCell ref="P895:P896"/>
    <mergeCell ref="J896:J897"/>
    <mergeCell ref="N895:N896"/>
    <mergeCell ref="O890:O894"/>
    <mergeCell ref="O895:O896"/>
    <mergeCell ref="K896:K897"/>
    <mergeCell ref="J890:J891"/>
    <mergeCell ref="J892:J893"/>
    <mergeCell ref="P905:P907"/>
    <mergeCell ref="N909:N910"/>
    <mergeCell ref="O909:P910"/>
    <mergeCell ref="Q890:Q893"/>
    <mergeCell ref="O898:P899"/>
    <mergeCell ref="Q900:Q901"/>
    <mergeCell ref="N903:N904"/>
    <mergeCell ref="O903:O904"/>
    <mergeCell ref="P903:P904"/>
    <mergeCell ref="L913:L914"/>
    <mergeCell ref="M913:M914"/>
    <mergeCell ref="M911:M912"/>
    <mergeCell ref="K911:K912"/>
    <mergeCell ref="K913:K914"/>
    <mergeCell ref="L911:L912"/>
    <mergeCell ref="P911:P912"/>
    <mergeCell ref="N911:N912"/>
    <mergeCell ref="O911:O912"/>
    <mergeCell ref="N915:N916"/>
    <mergeCell ref="O915:O916"/>
    <mergeCell ref="D944:D954"/>
    <mergeCell ref="P922:P924"/>
    <mergeCell ref="J934:J935"/>
    <mergeCell ref="L934:L941"/>
    <mergeCell ref="M934:M941"/>
    <mergeCell ref="N934:N938"/>
    <mergeCell ref="O934:O938"/>
    <mergeCell ref="K938:K939"/>
    <mergeCell ref="K940:K941"/>
    <mergeCell ref="K944:K945"/>
    <mergeCell ref="P957:P958"/>
    <mergeCell ref="P919:P920"/>
    <mergeCell ref="P915:P916"/>
    <mergeCell ref="J936:J937"/>
    <mergeCell ref="M919:M921"/>
    <mergeCell ref="L915:L916"/>
    <mergeCell ref="M915:M916"/>
    <mergeCell ref="N919:N920"/>
    <mergeCell ref="M917:M918"/>
    <mergeCell ref="O919:O920"/>
    <mergeCell ref="M957:M958"/>
    <mergeCell ref="N955:N956"/>
    <mergeCell ref="O922:O924"/>
    <mergeCell ref="O947:O948"/>
    <mergeCell ref="N922:N924"/>
    <mergeCell ref="N957:N958"/>
    <mergeCell ref="O953:P954"/>
    <mergeCell ref="O955:O956"/>
    <mergeCell ref="P955:P956"/>
    <mergeCell ref="O957:O958"/>
    <mergeCell ref="M944:M947"/>
    <mergeCell ref="L944:L947"/>
    <mergeCell ref="N953:N954"/>
    <mergeCell ref="L955:L956"/>
    <mergeCell ref="M955:M956"/>
    <mergeCell ref="D955:D962"/>
    <mergeCell ref="G925:I925"/>
    <mergeCell ref="G926:H926"/>
    <mergeCell ref="G959:H959"/>
    <mergeCell ref="G960:H960"/>
    <mergeCell ref="G961:H961"/>
    <mergeCell ref="G962:H962"/>
    <mergeCell ref="G934:H934"/>
    <mergeCell ref="G935:H935"/>
    <mergeCell ref="D934:D943"/>
    <mergeCell ref="Q934:Q937"/>
    <mergeCell ref="N939:N940"/>
    <mergeCell ref="Q944:Q945"/>
    <mergeCell ref="P939:P940"/>
    <mergeCell ref="N942:N943"/>
    <mergeCell ref="O942:P943"/>
    <mergeCell ref="O939:O940"/>
    <mergeCell ref="P934:P938"/>
    <mergeCell ref="N944:N946"/>
    <mergeCell ref="O944:O946"/>
    <mergeCell ref="P944:P946"/>
    <mergeCell ref="N947:N948"/>
    <mergeCell ref="O949:O951"/>
    <mergeCell ref="P949:P951"/>
    <mergeCell ref="P947:P948"/>
    <mergeCell ref="N949:N951"/>
    <mergeCell ref="N961:N962"/>
    <mergeCell ref="O961:O962"/>
    <mergeCell ref="P961:P962"/>
    <mergeCell ref="N959:N960"/>
    <mergeCell ref="O959:O960"/>
    <mergeCell ref="P959:P960"/>
    <mergeCell ref="Q978:Q981"/>
    <mergeCell ref="J963:J965"/>
    <mergeCell ref="J978:J979"/>
    <mergeCell ref="L978:L985"/>
    <mergeCell ref="M978:M985"/>
    <mergeCell ref="J980:J981"/>
    <mergeCell ref="N963:N964"/>
    <mergeCell ref="O963:O964"/>
    <mergeCell ref="P963:P964"/>
    <mergeCell ref="N966:N968"/>
    <mergeCell ref="O983:O984"/>
    <mergeCell ref="P983:P984"/>
    <mergeCell ref="J984:J985"/>
    <mergeCell ref="J982:J983"/>
    <mergeCell ref="N983:N984"/>
    <mergeCell ref="N978:N982"/>
    <mergeCell ref="O978:O982"/>
    <mergeCell ref="P978:P982"/>
    <mergeCell ref="K984:K985"/>
    <mergeCell ref="K982:K983"/>
    <mergeCell ref="O986:P987"/>
    <mergeCell ref="J988:J989"/>
    <mergeCell ref="L988:L991"/>
    <mergeCell ref="M988:M991"/>
    <mergeCell ref="N988:N990"/>
    <mergeCell ref="O988:O990"/>
    <mergeCell ref="P988:P990"/>
    <mergeCell ref="N986:N987"/>
    <mergeCell ref="K988:K989"/>
    <mergeCell ref="K990:K991"/>
    <mergeCell ref="Q988:Q989"/>
    <mergeCell ref="J990:J991"/>
    <mergeCell ref="N991:N992"/>
    <mergeCell ref="O991:O992"/>
    <mergeCell ref="P991:P992"/>
    <mergeCell ref="N1005:N1006"/>
    <mergeCell ref="O1005:O1006"/>
    <mergeCell ref="P1005:P1006"/>
    <mergeCell ref="P993:P995"/>
    <mergeCell ref="N997:N998"/>
    <mergeCell ref="O997:P998"/>
    <mergeCell ref="N993:N995"/>
    <mergeCell ref="O993:O995"/>
    <mergeCell ref="O1001:O1002"/>
    <mergeCell ref="P1001:P1002"/>
    <mergeCell ref="J999:J1000"/>
    <mergeCell ref="L999:L1000"/>
    <mergeCell ref="J1001:J1002"/>
    <mergeCell ref="L1001:L1002"/>
    <mergeCell ref="K999:K1000"/>
    <mergeCell ref="K1001:K1002"/>
    <mergeCell ref="J1007:J1009"/>
    <mergeCell ref="L1007:L1009"/>
    <mergeCell ref="J1003:J1004"/>
    <mergeCell ref="L1003:L1004"/>
    <mergeCell ref="J1005:J1006"/>
    <mergeCell ref="L1005:L1006"/>
    <mergeCell ref="K1003:K1004"/>
    <mergeCell ref="K1005:K1006"/>
    <mergeCell ref="K1007:K1009"/>
    <mergeCell ref="M1005:M1006"/>
    <mergeCell ref="M1007:M1009"/>
    <mergeCell ref="N1010:N1012"/>
    <mergeCell ref="E1058:F1059"/>
    <mergeCell ref="N1007:N1008"/>
    <mergeCell ref="N1022:N1026"/>
    <mergeCell ref="J1024:J1025"/>
    <mergeCell ref="J1026:J1027"/>
    <mergeCell ref="N1027:N1028"/>
    <mergeCell ref="J1034:J1035"/>
    <mergeCell ref="O1007:O1008"/>
    <mergeCell ref="G1058:H1059"/>
    <mergeCell ref="G1057:H1057"/>
    <mergeCell ref="G1054:H1054"/>
    <mergeCell ref="O1030:P1031"/>
    <mergeCell ref="P1007:P1008"/>
    <mergeCell ref="G1029:H1029"/>
    <mergeCell ref="J1022:J1023"/>
    <mergeCell ref="L1022:L1029"/>
    <mergeCell ref="M1022:M1029"/>
    <mergeCell ref="P999:P1000"/>
    <mergeCell ref="M1003:M1004"/>
    <mergeCell ref="N1001:N1002"/>
    <mergeCell ref="M1001:M1002"/>
    <mergeCell ref="N1003:N1004"/>
    <mergeCell ref="O1003:O1004"/>
    <mergeCell ref="P1003:P1004"/>
    <mergeCell ref="N999:N1000"/>
    <mergeCell ref="O999:O1000"/>
    <mergeCell ref="M999:M1000"/>
    <mergeCell ref="J959:J960"/>
    <mergeCell ref="J957:J958"/>
    <mergeCell ref="J961:J962"/>
    <mergeCell ref="M963:M965"/>
    <mergeCell ref="L961:L962"/>
    <mergeCell ref="M961:M962"/>
    <mergeCell ref="M959:M960"/>
    <mergeCell ref="L963:L965"/>
    <mergeCell ref="K963:K965"/>
    <mergeCell ref="L957:L958"/>
    <mergeCell ref="C934:C943"/>
    <mergeCell ref="B934:B943"/>
    <mergeCell ref="J955:J956"/>
    <mergeCell ref="J946:J947"/>
    <mergeCell ref="J944:J945"/>
    <mergeCell ref="J938:J939"/>
    <mergeCell ref="J940:J941"/>
    <mergeCell ref="G941:H941"/>
    <mergeCell ref="G944:H944"/>
    <mergeCell ref="G956:H956"/>
    <mergeCell ref="G609:H609"/>
    <mergeCell ref="G610:I610"/>
    <mergeCell ref="G688:H688"/>
    <mergeCell ref="G622:H622"/>
    <mergeCell ref="G638:H638"/>
    <mergeCell ref="G658:H658"/>
    <mergeCell ref="G641:H641"/>
    <mergeCell ref="G624:H624"/>
    <mergeCell ref="G614:H614"/>
    <mergeCell ref="G623:H623"/>
    <mergeCell ref="J894:J895"/>
    <mergeCell ref="L890:L897"/>
    <mergeCell ref="J919:J921"/>
    <mergeCell ref="J917:J918"/>
    <mergeCell ref="J915:J916"/>
    <mergeCell ref="K915:K916"/>
    <mergeCell ref="K917:K918"/>
    <mergeCell ref="L919:L921"/>
    <mergeCell ref="L917:L918"/>
    <mergeCell ref="J913:J914"/>
    <mergeCell ref="G683:H683"/>
    <mergeCell ref="G684:H684"/>
    <mergeCell ref="G603:H603"/>
    <mergeCell ref="G604:H604"/>
    <mergeCell ref="G605:H605"/>
    <mergeCell ref="G606:H606"/>
    <mergeCell ref="G649:H649"/>
    <mergeCell ref="G650:H650"/>
    <mergeCell ref="G657:H657"/>
    <mergeCell ref="G632:H632"/>
    <mergeCell ref="G195:H195"/>
    <mergeCell ref="G196:H196"/>
    <mergeCell ref="J189:J196"/>
    <mergeCell ref="G190:H190"/>
    <mergeCell ref="G191:H191"/>
    <mergeCell ref="G192:I192"/>
    <mergeCell ref="G193:H193"/>
    <mergeCell ref="G189:H189"/>
    <mergeCell ref="O197:O201"/>
    <mergeCell ref="P197:P201"/>
    <mergeCell ref="Q197:Q200"/>
    <mergeCell ref="Q189:T196"/>
    <mergeCell ref="D189:D228"/>
    <mergeCell ref="G224:H224"/>
    <mergeCell ref="O216:P217"/>
    <mergeCell ref="N220:N221"/>
    <mergeCell ref="P202:P203"/>
    <mergeCell ref="J203:J204"/>
    <mergeCell ref="J197:J198"/>
    <mergeCell ref="M189:M196"/>
    <mergeCell ref="M197:M204"/>
    <mergeCell ref="J199:J200"/>
    <mergeCell ref="O205:P206"/>
    <mergeCell ref="K203:K204"/>
    <mergeCell ref="N212:N214"/>
    <mergeCell ref="O212:O214"/>
    <mergeCell ref="P212:P214"/>
    <mergeCell ref="K207:K208"/>
    <mergeCell ref="K209:K210"/>
    <mergeCell ref="N202:N203"/>
    <mergeCell ref="O202:O203"/>
    <mergeCell ref="L207:L210"/>
    <mergeCell ref="N216:N217"/>
    <mergeCell ref="E230:F231"/>
    <mergeCell ref="E233:F234"/>
    <mergeCell ref="G220:H220"/>
    <mergeCell ref="J224:J225"/>
    <mergeCell ref="J222:J223"/>
    <mergeCell ref="G225:H225"/>
    <mergeCell ref="J226:J228"/>
    <mergeCell ref="L222:L223"/>
    <mergeCell ref="L226:L228"/>
    <mergeCell ref="B189:B228"/>
    <mergeCell ref="C189:C228"/>
    <mergeCell ref="Q207:Q208"/>
    <mergeCell ref="N210:N211"/>
    <mergeCell ref="O210:O211"/>
    <mergeCell ref="P210:P211"/>
    <mergeCell ref="P207:P209"/>
    <mergeCell ref="N207:N209"/>
    <mergeCell ref="O207:O209"/>
    <mergeCell ref="O220:O221"/>
    <mergeCell ref="P220:P221"/>
    <mergeCell ref="N218:N219"/>
    <mergeCell ref="O218:O219"/>
    <mergeCell ref="P218:P219"/>
    <mergeCell ref="J207:J208"/>
    <mergeCell ref="G202:H202"/>
    <mergeCell ref="G203:H203"/>
    <mergeCell ref="G204:H204"/>
    <mergeCell ref="J201:J202"/>
    <mergeCell ref="G207:H207"/>
    <mergeCell ref="G208:H208"/>
    <mergeCell ref="P222:P223"/>
    <mergeCell ref="O226:O227"/>
    <mergeCell ref="P226:P227"/>
    <mergeCell ref="N226:N227"/>
    <mergeCell ref="N224:N225"/>
    <mergeCell ref="O224:O225"/>
    <mergeCell ref="O222:O223"/>
    <mergeCell ref="P224:P225"/>
    <mergeCell ref="K222:K223"/>
    <mergeCell ref="K224:K225"/>
    <mergeCell ref="K226:K228"/>
    <mergeCell ref="G539:H539"/>
    <mergeCell ref="G536:H536"/>
    <mergeCell ref="G496:H496"/>
    <mergeCell ref="G502:H502"/>
    <mergeCell ref="G505:H505"/>
    <mergeCell ref="G504:H504"/>
    <mergeCell ref="G525:H525"/>
    <mergeCell ref="G518:H518"/>
    <mergeCell ref="G516:H516"/>
    <mergeCell ref="G517:I517"/>
    <mergeCell ref="G745:H745"/>
    <mergeCell ref="G737:H737"/>
    <mergeCell ref="G740:H740"/>
    <mergeCell ref="G741:H741"/>
    <mergeCell ref="G742:I742"/>
    <mergeCell ref="G739:H739"/>
    <mergeCell ref="G744:H744"/>
    <mergeCell ref="P731:P733"/>
    <mergeCell ref="Q743:Q746"/>
    <mergeCell ref="N743:N747"/>
    <mergeCell ref="O743:O747"/>
    <mergeCell ref="P743:P747"/>
    <mergeCell ref="Q731:T742"/>
    <mergeCell ref="N731:N733"/>
    <mergeCell ref="O731:O733"/>
    <mergeCell ref="N751:N752"/>
    <mergeCell ref="P748:P749"/>
    <mergeCell ref="J749:J750"/>
    <mergeCell ref="M743:M750"/>
    <mergeCell ref="K743:K744"/>
    <mergeCell ref="K745:K746"/>
    <mergeCell ref="O748:O749"/>
    <mergeCell ref="K747:K748"/>
    <mergeCell ref="K749:K750"/>
    <mergeCell ref="N748:N749"/>
    <mergeCell ref="P764:P765"/>
    <mergeCell ref="M753:M756"/>
    <mergeCell ref="O753:O755"/>
    <mergeCell ref="N753:N755"/>
    <mergeCell ref="O756:O757"/>
    <mergeCell ref="O764:O765"/>
    <mergeCell ref="N756:N757"/>
    <mergeCell ref="M764:M765"/>
    <mergeCell ref="O766:O767"/>
    <mergeCell ref="Q753:Q754"/>
    <mergeCell ref="N758:N760"/>
    <mergeCell ref="O758:O760"/>
    <mergeCell ref="P758:P760"/>
    <mergeCell ref="N762:N763"/>
    <mergeCell ref="O762:P763"/>
    <mergeCell ref="N764:N765"/>
    <mergeCell ref="P756:P757"/>
    <mergeCell ref="P753:P755"/>
    <mergeCell ref="L766:L767"/>
    <mergeCell ref="M766:M767"/>
    <mergeCell ref="N766:N767"/>
    <mergeCell ref="K766:K767"/>
    <mergeCell ref="P766:P767"/>
    <mergeCell ref="J770:J771"/>
    <mergeCell ref="L770:L771"/>
    <mergeCell ref="M770:M771"/>
    <mergeCell ref="N770:N771"/>
    <mergeCell ref="O770:O771"/>
    <mergeCell ref="P770:P771"/>
    <mergeCell ref="L768:L769"/>
    <mergeCell ref="M768:M769"/>
    <mergeCell ref="N768:N769"/>
    <mergeCell ref="O768:O769"/>
    <mergeCell ref="P768:P769"/>
    <mergeCell ref="M772:M774"/>
    <mergeCell ref="N772:N773"/>
    <mergeCell ref="O772:O773"/>
    <mergeCell ref="P772:P773"/>
    <mergeCell ref="G778:H778"/>
    <mergeCell ref="G782:I782"/>
    <mergeCell ref="G781:H781"/>
    <mergeCell ref="G787:H787"/>
    <mergeCell ref="G779:H780"/>
    <mergeCell ref="G784:H784"/>
    <mergeCell ref="L959:L960"/>
    <mergeCell ref="G920:H920"/>
    <mergeCell ref="Q1032:Q1033"/>
    <mergeCell ref="K1028:K1029"/>
    <mergeCell ref="K1032:K1033"/>
    <mergeCell ref="P1032:P1034"/>
    <mergeCell ref="O1027:O1028"/>
    <mergeCell ref="O1032:O1034"/>
    <mergeCell ref="K1034:K1035"/>
    <mergeCell ref="P1027:P1028"/>
    <mergeCell ref="J1028:J1029"/>
    <mergeCell ref="N1030:N1031"/>
    <mergeCell ref="J1032:J1033"/>
    <mergeCell ref="L1032:L1035"/>
    <mergeCell ref="M1032:M1035"/>
    <mergeCell ref="N1032:N1034"/>
    <mergeCell ref="J1043:J1044"/>
    <mergeCell ref="N1035:N1036"/>
    <mergeCell ref="O1035:O1036"/>
    <mergeCell ref="P1035:P1036"/>
    <mergeCell ref="N1037:N1039"/>
    <mergeCell ref="O1037:O1039"/>
    <mergeCell ref="P1037:P1039"/>
    <mergeCell ref="N1041:N1042"/>
    <mergeCell ref="O1041:P1042"/>
    <mergeCell ref="P1043:P1044"/>
    <mergeCell ref="J1045:J1046"/>
    <mergeCell ref="L1045:L1046"/>
    <mergeCell ref="M1045:M1046"/>
    <mergeCell ref="N1045:N1046"/>
    <mergeCell ref="L1043:L1044"/>
    <mergeCell ref="M1043:M1044"/>
    <mergeCell ref="N1043:N1044"/>
    <mergeCell ref="O1043:O1044"/>
    <mergeCell ref="O1045:O1046"/>
    <mergeCell ref="P1045:P1046"/>
    <mergeCell ref="O1047:O1048"/>
    <mergeCell ref="P1047:P1048"/>
    <mergeCell ref="P1049:P1050"/>
    <mergeCell ref="O1049:O1050"/>
    <mergeCell ref="J1051:J1053"/>
    <mergeCell ref="L1051:L1053"/>
    <mergeCell ref="M1051:M1053"/>
    <mergeCell ref="M1049:M1050"/>
    <mergeCell ref="K1051:K1053"/>
    <mergeCell ref="K1049:K1050"/>
    <mergeCell ref="N1051:N1052"/>
    <mergeCell ref="O1051:O1052"/>
    <mergeCell ref="N1047:N1048"/>
    <mergeCell ref="J1049:J1050"/>
    <mergeCell ref="L1049:L1050"/>
    <mergeCell ref="N1049:N1050"/>
    <mergeCell ref="J1047:J1048"/>
    <mergeCell ref="L1047:L1048"/>
    <mergeCell ref="M1047:M1048"/>
    <mergeCell ref="K1047:K1048"/>
    <mergeCell ref="P1051:P1052"/>
    <mergeCell ref="D1084:F1084"/>
    <mergeCell ref="D1085:F1085"/>
    <mergeCell ref="D1086:F1086"/>
    <mergeCell ref="G1082:I1082"/>
    <mergeCell ref="G1083:H1083"/>
    <mergeCell ref="G1084:H1084"/>
    <mergeCell ref="G1085:H1085"/>
    <mergeCell ref="G1086:H1086"/>
    <mergeCell ref="B1060:D1061"/>
    <mergeCell ref="B1079:B1090"/>
    <mergeCell ref="C1087:C1090"/>
    <mergeCell ref="C1079:C1086"/>
    <mergeCell ref="D1079:F1079"/>
    <mergeCell ref="D1081:F1081"/>
    <mergeCell ref="D1082:F1082"/>
    <mergeCell ref="C1091:C1097"/>
    <mergeCell ref="G1091:H1091"/>
    <mergeCell ref="J1091:J1101"/>
    <mergeCell ref="L1091:L1101"/>
    <mergeCell ref="G1095:H1095"/>
    <mergeCell ref="G1096:H1096"/>
    <mergeCell ref="G1097:H1097"/>
    <mergeCell ref="P1091:P1092"/>
    <mergeCell ref="G1092:H1092"/>
    <mergeCell ref="G1093:I1093"/>
    <mergeCell ref="G1094:H1094"/>
    <mergeCell ref="M1091:M1101"/>
    <mergeCell ref="G1100:I1100"/>
    <mergeCell ref="G1101:H1101"/>
    <mergeCell ref="O1091:O1092"/>
    <mergeCell ref="P1102:P1103"/>
    <mergeCell ref="G1103:H1103"/>
    <mergeCell ref="G1104:I1104"/>
    <mergeCell ref="G1105:H1105"/>
    <mergeCell ref="N1102:N1103"/>
    <mergeCell ref="G1146:H1146"/>
    <mergeCell ref="O1102:O1103"/>
    <mergeCell ref="C1102:C1108"/>
    <mergeCell ref="G1102:H1102"/>
    <mergeCell ref="G1106:H1106"/>
    <mergeCell ref="G1107:H1107"/>
    <mergeCell ref="G1108:H1108"/>
    <mergeCell ref="M1113:M1124"/>
    <mergeCell ref="L1113:L1124"/>
    <mergeCell ref="C1146:C1156"/>
    <mergeCell ref="G1137:H1137"/>
    <mergeCell ref="C1113:C1120"/>
    <mergeCell ref="P1113:P1115"/>
    <mergeCell ref="G1114:H1114"/>
    <mergeCell ref="G1115:H1115"/>
    <mergeCell ref="G1116:I1116"/>
    <mergeCell ref="N1113:N1115"/>
    <mergeCell ref="J1113:J1124"/>
    <mergeCell ref="K1113:K1124"/>
    <mergeCell ref="D1113:D1120"/>
    <mergeCell ref="O1125:O1129"/>
    <mergeCell ref="P1125:P1129"/>
    <mergeCell ref="Q1125:Q1128"/>
    <mergeCell ref="G1126:H1126"/>
    <mergeCell ref="G1127:H1127"/>
    <mergeCell ref="J1127:J1128"/>
    <mergeCell ref="G1128:H1128"/>
    <mergeCell ref="G1129:H1129"/>
    <mergeCell ref="J1129:J1130"/>
    <mergeCell ref="G1130:H1130"/>
    <mergeCell ref="O1130:O1131"/>
    <mergeCell ref="P1130:P1131"/>
    <mergeCell ref="G1131:H1131"/>
    <mergeCell ref="J1131:J1132"/>
    <mergeCell ref="G1132:H1132"/>
    <mergeCell ref="N1130:N1131"/>
    <mergeCell ref="N1133:N1134"/>
    <mergeCell ref="O1133:P1134"/>
    <mergeCell ref="G1135:H1135"/>
    <mergeCell ref="J1135:J1136"/>
    <mergeCell ref="L1135:L1138"/>
    <mergeCell ref="M1135:M1138"/>
    <mergeCell ref="N1135:N1137"/>
    <mergeCell ref="O1135:O1137"/>
    <mergeCell ref="P1135:P1137"/>
    <mergeCell ref="G1138:H1138"/>
    <mergeCell ref="Q1135:Q1136"/>
    <mergeCell ref="J1137:J1138"/>
    <mergeCell ref="N1138:N1139"/>
    <mergeCell ref="O1138:O1139"/>
    <mergeCell ref="P1138:P1139"/>
    <mergeCell ref="K1135:K1136"/>
    <mergeCell ref="K1137:K1138"/>
    <mergeCell ref="N1140:N1142"/>
    <mergeCell ref="O1140:O1142"/>
    <mergeCell ref="P1140:P1142"/>
    <mergeCell ref="N1144:N1145"/>
    <mergeCell ref="O1144:P1145"/>
    <mergeCell ref="O1146:O1147"/>
    <mergeCell ref="P1146:P1147"/>
    <mergeCell ref="J1148:J1149"/>
    <mergeCell ref="L1148:L1149"/>
    <mergeCell ref="M1148:M1149"/>
    <mergeCell ref="J1146:J1147"/>
    <mergeCell ref="L1146:L1147"/>
    <mergeCell ref="M1146:M1147"/>
    <mergeCell ref="N1146:N1147"/>
    <mergeCell ref="K1146:K1147"/>
    <mergeCell ref="O1150:O1151"/>
    <mergeCell ref="P1150:P1151"/>
    <mergeCell ref="J1152:J1153"/>
    <mergeCell ref="L1152:L1153"/>
    <mergeCell ref="M1152:M1153"/>
    <mergeCell ref="J1150:J1151"/>
    <mergeCell ref="L1150:L1151"/>
    <mergeCell ref="M1150:M1151"/>
    <mergeCell ref="N1150:N1151"/>
    <mergeCell ref="K1152:K1153"/>
    <mergeCell ref="P1154:P1155"/>
    <mergeCell ref="G1157:H1157"/>
    <mergeCell ref="N1157:N1159"/>
    <mergeCell ref="P1157:P1159"/>
    <mergeCell ref="J1154:J1156"/>
    <mergeCell ref="L1154:L1156"/>
    <mergeCell ref="M1154:M1156"/>
    <mergeCell ref="N1154:N1155"/>
    <mergeCell ref="J1157:J1168"/>
    <mergeCell ref="G1155:H1155"/>
    <mergeCell ref="G1159:H1159"/>
    <mergeCell ref="G1160:I1160"/>
    <mergeCell ref="G1161:H1161"/>
    <mergeCell ref="O1154:O1155"/>
    <mergeCell ref="K1154:K1156"/>
    <mergeCell ref="M1169:M1176"/>
    <mergeCell ref="N1169:N1173"/>
    <mergeCell ref="O1157:O1159"/>
    <mergeCell ref="O1169:O1173"/>
    <mergeCell ref="M1157:M1168"/>
    <mergeCell ref="P1169:P1173"/>
    <mergeCell ref="Q1169:Q1172"/>
    <mergeCell ref="J1171:J1172"/>
    <mergeCell ref="J1173:J1174"/>
    <mergeCell ref="N1174:N1175"/>
    <mergeCell ref="O1174:O1175"/>
    <mergeCell ref="P1174:P1175"/>
    <mergeCell ref="J1175:J1176"/>
    <mergeCell ref="J1169:J1170"/>
    <mergeCell ref="L1169:L1176"/>
    <mergeCell ref="N1177:N1178"/>
    <mergeCell ref="O1177:P1178"/>
    <mergeCell ref="J1179:J1180"/>
    <mergeCell ref="L1179:L1182"/>
    <mergeCell ref="M1179:M1182"/>
    <mergeCell ref="N1179:N1181"/>
    <mergeCell ref="O1179:O1181"/>
    <mergeCell ref="P1179:P1181"/>
    <mergeCell ref="Q1179:Q1180"/>
    <mergeCell ref="J1181:J1182"/>
    <mergeCell ref="N1182:N1183"/>
    <mergeCell ref="O1182:O1183"/>
    <mergeCell ref="P1182:P1183"/>
    <mergeCell ref="N1184:N1186"/>
    <mergeCell ref="O1184:O1186"/>
    <mergeCell ref="P1184:P1186"/>
    <mergeCell ref="N1188:N1189"/>
    <mergeCell ref="O1188:P1189"/>
    <mergeCell ref="O1190:O1191"/>
    <mergeCell ref="P1190:P1191"/>
    <mergeCell ref="N1190:N1191"/>
    <mergeCell ref="J1192:J1193"/>
    <mergeCell ref="L1192:L1193"/>
    <mergeCell ref="M1192:M1193"/>
    <mergeCell ref="J1190:J1191"/>
    <mergeCell ref="L1190:L1191"/>
    <mergeCell ref="M1190:M1191"/>
    <mergeCell ref="K1192:K1193"/>
    <mergeCell ref="J1194:J1195"/>
    <mergeCell ref="L1194:L1195"/>
    <mergeCell ref="M1194:M1195"/>
    <mergeCell ref="N1194:N1195"/>
    <mergeCell ref="K1194:K1195"/>
    <mergeCell ref="P1198:P1199"/>
    <mergeCell ref="G1201:H1201"/>
    <mergeCell ref="N1201:N1203"/>
    <mergeCell ref="J1198:J1200"/>
    <mergeCell ref="L1198:L1200"/>
    <mergeCell ref="M1198:M1200"/>
    <mergeCell ref="N1198:N1199"/>
    <mergeCell ref="G1199:H1199"/>
    <mergeCell ref="G1198:H1198"/>
    <mergeCell ref="L1201:L1212"/>
    <mergeCell ref="G1211:H1211"/>
    <mergeCell ref="G1212:I1212"/>
    <mergeCell ref="O1198:O1199"/>
    <mergeCell ref="M1213:M1220"/>
    <mergeCell ref="N1213:N1217"/>
    <mergeCell ref="O1201:O1203"/>
    <mergeCell ref="O1213:O1217"/>
    <mergeCell ref="M1201:M1212"/>
    <mergeCell ref="G1213:H1213"/>
    <mergeCell ref="G1214:H1214"/>
    <mergeCell ref="P1213:P1217"/>
    <mergeCell ref="Q1213:Q1216"/>
    <mergeCell ref="J1215:J1216"/>
    <mergeCell ref="J1217:J1218"/>
    <mergeCell ref="N1218:N1219"/>
    <mergeCell ref="O1218:O1219"/>
    <mergeCell ref="P1218:P1219"/>
    <mergeCell ref="J1219:J1220"/>
    <mergeCell ref="J1213:J1214"/>
    <mergeCell ref="L1213:L1220"/>
    <mergeCell ref="N1221:N1222"/>
    <mergeCell ref="O1221:P1222"/>
    <mergeCell ref="J1223:J1224"/>
    <mergeCell ref="L1223:L1226"/>
    <mergeCell ref="M1223:M1226"/>
    <mergeCell ref="N1223:N1225"/>
    <mergeCell ref="O1223:O1225"/>
    <mergeCell ref="P1223:P1225"/>
    <mergeCell ref="K1225:K1226"/>
    <mergeCell ref="K1223:K1224"/>
    <mergeCell ref="Q1223:Q1224"/>
    <mergeCell ref="J1225:J1226"/>
    <mergeCell ref="N1226:N1227"/>
    <mergeCell ref="O1226:O1227"/>
    <mergeCell ref="P1226:P1227"/>
    <mergeCell ref="N1228:N1230"/>
    <mergeCell ref="O1228:O1230"/>
    <mergeCell ref="P1228:P1230"/>
    <mergeCell ref="N1232:N1233"/>
    <mergeCell ref="O1232:P1233"/>
    <mergeCell ref="O1234:O1235"/>
    <mergeCell ref="P1234:P1235"/>
    <mergeCell ref="J1236:J1237"/>
    <mergeCell ref="L1236:L1237"/>
    <mergeCell ref="M1236:M1237"/>
    <mergeCell ref="J1234:J1235"/>
    <mergeCell ref="L1234:L1235"/>
    <mergeCell ref="M1234:M1235"/>
    <mergeCell ref="N1234:N1235"/>
    <mergeCell ref="K1234:K1235"/>
    <mergeCell ref="O1238:O1239"/>
    <mergeCell ref="P1238:P1239"/>
    <mergeCell ref="J1240:J1241"/>
    <mergeCell ref="L1240:L1241"/>
    <mergeCell ref="M1240:M1241"/>
    <mergeCell ref="J1238:J1239"/>
    <mergeCell ref="L1238:L1239"/>
    <mergeCell ref="M1238:M1239"/>
    <mergeCell ref="N1238:N1239"/>
    <mergeCell ref="O1242:O1243"/>
    <mergeCell ref="P1242:P1243"/>
    <mergeCell ref="G1245:H1245"/>
    <mergeCell ref="N1245:N1247"/>
    <mergeCell ref="J1242:J1244"/>
    <mergeCell ref="L1242:L1244"/>
    <mergeCell ref="M1242:M1244"/>
    <mergeCell ref="N1242:N1243"/>
    <mergeCell ref="G1242:H1242"/>
    <mergeCell ref="O1245:O1247"/>
    <mergeCell ref="P1245:P1247"/>
    <mergeCell ref="G1246:H1246"/>
    <mergeCell ref="G1247:H1247"/>
    <mergeCell ref="J1257:J1258"/>
    <mergeCell ref="L1257:L1264"/>
    <mergeCell ref="M1257:M1264"/>
    <mergeCell ref="N1257:N1261"/>
    <mergeCell ref="J1259:J1260"/>
    <mergeCell ref="J1261:J1262"/>
    <mergeCell ref="N1262:N1263"/>
    <mergeCell ref="J1263:J1264"/>
    <mergeCell ref="N1265:N1266"/>
    <mergeCell ref="O1265:P1266"/>
    <mergeCell ref="O1257:O1261"/>
    <mergeCell ref="P1257:P1261"/>
    <mergeCell ref="K1263:K1264"/>
    <mergeCell ref="O1270:O1271"/>
    <mergeCell ref="P1270:P1271"/>
    <mergeCell ref="O1267:O1269"/>
    <mergeCell ref="Q1257:Q1260"/>
    <mergeCell ref="P1262:P1263"/>
    <mergeCell ref="O1262:O1263"/>
    <mergeCell ref="Q1267:Q1268"/>
    <mergeCell ref="P1267:P1269"/>
    <mergeCell ref="J1267:J1268"/>
    <mergeCell ref="L1267:L1270"/>
    <mergeCell ref="M1267:M1270"/>
    <mergeCell ref="N1267:N1269"/>
    <mergeCell ref="J1269:J1270"/>
    <mergeCell ref="N1270:N1271"/>
    <mergeCell ref="K1267:K1268"/>
    <mergeCell ref="K1269:K1270"/>
    <mergeCell ref="N1278:N1279"/>
    <mergeCell ref="N1272:N1274"/>
    <mergeCell ref="O1272:O1274"/>
    <mergeCell ref="P1272:P1274"/>
    <mergeCell ref="N1276:N1277"/>
    <mergeCell ref="O1276:P1277"/>
    <mergeCell ref="O1284:O1285"/>
    <mergeCell ref="O1278:O1279"/>
    <mergeCell ref="P1278:P1279"/>
    <mergeCell ref="J1280:J1281"/>
    <mergeCell ref="L1280:L1281"/>
    <mergeCell ref="M1280:M1281"/>
    <mergeCell ref="N1280:N1281"/>
    <mergeCell ref="J1278:J1279"/>
    <mergeCell ref="L1278:L1279"/>
    <mergeCell ref="M1278:M1279"/>
    <mergeCell ref="O1280:O1281"/>
    <mergeCell ref="P1280:P1281"/>
    <mergeCell ref="O1282:O1283"/>
    <mergeCell ref="P1282:P1283"/>
    <mergeCell ref="L1284:L1285"/>
    <mergeCell ref="M1284:M1285"/>
    <mergeCell ref="N1284:N1285"/>
    <mergeCell ref="L1282:L1283"/>
    <mergeCell ref="M1282:M1283"/>
    <mergeCell ref="N1282:N1283"/>
    <mergeCell ref="L1301:L1308"/>
    <mergeCell ref="P1284:P1285"/>
    <mergeCell ref="J1282:J1283"/>
    <mergeCell ref="J1286:J1288"/>
    <mergeCell ref="L1286:L1288"/>
    <mergeCell ref="M1286:M1288"/>
    <mergeCell ref="N1286:N1287"/>
    <mergeCell ref="O1286:O1287"/>
    <mergeCell ref="P1286:P1287"/>
    <mergeCell ref="J1284:J1285"/>
    <mergeCell ref="M1289:M1300"/>
    <mergeCell ref="G1289:H1289"/>
    <mergeCell ref="G1290:H1290"/>
    <mergeCell ref="G1291:H1291"/>
    <mergeCell ref="G1292:I1292"/>
    <mergeCell ref="G1293:H1293"/>
    <mergeCell ref="G1300:I1300"/>
    <mergeCell ref="G1297:H1297"/>
    <mergeCell ref="G1294:H1294"/>
    <mergeCell ref="O1289:O1291"/>
    <mergeCell ref="P1289:P1291"/>
    <mergeCell ref="N1301:N1305"/>
    <mergeCell ref="O1301:O1305"/>
    <mergeCell ref="P1301:P1305"/>
    <mergeCell ref="N1289:N1291"/>
    <mergeCell ref="P1311:P1313"/>
    <mergeCell ref="Q1301:Q1304"/>
    <mergeCell ref="J1303:J1304"/>
    <mergeCell ref="J1305:J1306"/>
    <mergeCell ref="N1306:N1307"/>
    <mergeCell ref="O1306:O1307"/>
    <mergeCell ref="P1306:P1307"/>
    <mergeCell ref="J1307:J1308"/>
    <mergeCell ref="M1301:M1308"/>
    <mergeCell ref="J1301:J1302"/>
    <mergeCell ref="N1309:N1310"/>
    <mergeCell ref="O1309:P1310"/>
    <mergeCell ref="Q1311:Q1312"/>
    <mergeCell ref="J1313:J1314"/>
    <mergeCell ref="N1314:N1315"/>
    <mergeCell ref="O1314:O1315"/>
    <mergeCell ref="P1314:P1315"/>
    <mergeCell ref="J1311:J1312"/>
    <mergeCell ref="L1311:L1314"/>
    <mergeCell ref="M1311:M1314"/>
    <mergeCell ref="N1311:N1313"/>
    <mergeCell ref="O1311:O1313"/>
    <mergeCell ref="N1316:N1318"/>
    <mergeCell ref="O1316:O1318"/>
    <mergeCell ref="J1322:J1323"/>
    <mergeCell ref="L1322:L1323"/>
    <mergeCell ref="M1322:M1323"/>
    <mergeCell ref="N1322:N1323"/>
    <mergeCell ref="K1322:K1323"/>
    <mergeCell ref="O1324:O1325"/>
    <mergeCell ref="P1316:P1318"/>
    <mergeCell ref="N1320:N1321"/>
    <mergeCell ref="O1320:P1321"/>
    <mergeCell ref="O1322:O1323"/>
    <mergeCell ref="P1322:P1323"/>
    <mergeCell ref="P1324:P1325"/>
    <mergeCell ref="J1324:J1325"/>
    <mergeCell ref="L1324:L1325"/>
    <mergeCell ref="M1324:M1325"/>
    <mergeCell ref="N1324:N1325"/>
    <mergeCell ref="K1324:K1325"/>
    <mergeCell ref="O1326:O1327"/>
    <mergeCell ref="P1326:P1327"/>
    <mergeCell ref="L1328:L1329"/>
    <mergeCell ref="M1328:M1329"/>
    <mergeCell ref="N1328:N1329"/>
    <mergeCell ref="L1326:L1327"/>
    <mergeCell ref="M1326:M1327"/>
    <mergeCell ref="N1326:N1327"/>
    <mergeCell ref="O1328:O1329"/>
    <mergeCell ref="P1328:P1329"/>
    <mergeCell ref="M1330:M1332"/>
    <mergeCell ref="N1330:N1331"/>
    <mergeCell ref="O1330:O1331"/>
    <mergeCell ref="P1330:P1331"/>
    <mergeCell ref="D1333:D1338"/>
    <mergeCell ref="G1340:I1340"/>
    <mergeCell ref="I1337:I1338"/>
    <mergeCell ref="G1336:H1336"/>
    <mergeCell ref="G1339:H1339"/>
    <mergeCell ref="G1333:H1333"/>
    <mergeCell ref="E1334:F1335"/>
    <mergeCell ref="G1334:I1335"/>
    <mergeCell ref="E1337:F1338"/>
    <mergeCell ref="G1337:H1338"/>
    <mergeCell ref="G565:H565"/>
    <mergeCell ref="G566:I566"/>
    <mergeCell ref="G607:H607"/>
    <mergeCell ref="G608:H608"/>
    <mergeCell ref="G578:H578"/>
    <mergeCell ref="G580:H580"/>
    <mergeCell ref="G590:H590"/>
    <mergeCell ref="G591:H591"/>
    <mergeCell ref="G592:H592"/>
    <mergeCell ref="G570:H570"/>
    <mergeCell ref="G60:H60"/>
    <mergeCell ref="G61:H61"/>
    <mergeCell ref="G62:H62"/>
    <mergeCell ref="G63:H63"/>
    <mergeCell ref="G64:H64"/>
    <mergeCell ref="G65:H65"/>
    <mergeCell ref="G66:H66"/>
    <mergeCell ref="G67:H67"/>
    <mergeCell ref="G83:H83"/>
    <mergeCell ref="G84:H84"/>
    <mergeCell ref="G87:H87"/>
    <mergeCell ref="G88:H88"/>
    <mergeCell ref="G89:H89"/>
    <mergeCell ref="G90:H90"/>
    <mergeCell ref="G98:H98"/>
    <mergeCell ref="G99:H99"/>
    <mergeCell ref="G100:H100"/>
    <mergeCell ref="G101:H101"/>
    <mergeCell ref="G106:H106"/>
    <mergeCell ref="G102:H102"/>
    <mergeCell ref="G103:H103"/>
    <mergeCell ref="G104:H104"/>
    <mergeCell ref="G105:H105"/>
    <mergeCell ref="G923:H923"/>
    <mergeCell ref="G924:H924"/>
    <mergeCell ref="G933:I933"/>
    <mergeCell ref="G929:H929"/>
    <mergeCell ref="G930:H930"/>
    <mergeCell ref="G931:H931"/>
    <mergeCell ref="G932:H932"/>
    <mergeCell ref="G927:H927"/>
    <mergeCell ref="G928:H928"/>
    <mergeCell ref="G971:H971"/>
    <mergeCell ref="G972:H972"/>
    <mergeCell ref="G973:H973"/>
    <mergeCell ref="G978:H978"/>
    <mergeCell ref="G974:H974"/>
    <mergeCell ref="G975:H975"/>
    <mergeCell ref="G976:H976"/>
    <mergeCell ref="G977:I977"/>
    <mergeCell ref="G1007:H1007"/>
    <mergeCell ref="G1008:H1008"/>
    <mergeCell ref="G1019:H1019"/>
    <mergeCell ref="G979:H979"/>
    <mergeCell ref="G980:H980"/>
    <mergeCell ref="G981:H981"/>
    <mergeCell ref="G982:H982"/>
    <mergeCell ref="G1000:H1000"/>
    <mergeCell ref="G1015:H1015"/>
    <mergeCell ref="G1016:H1016"/>
    <mergeCell ref="G1017:H1017"/>
    <mergeCell ref="G1001:H1001"/>
    <mergeCell ref="G1002:H1002"/>
    <mergeCell ref="G1003:H1003"/>
    <mergeCell ref="G1004:H1004"/>
    <mergeCell ref="G1005:H1005"/>
    <mergeCell ref="G1006:H1006"/>
    <mergeCell ref="G989:H989"/>
    <mergeCell ref="G990:H990"/>
    <mergeCell ref="G991:H991"/>
    <mergeCell ref="G999:H999"/>
    <mergeCell ref="G983:H983"/>
    <mergeCell ref="G984:H984"/>
    <mergeCell ref="G985:H985"/>
    <mergeCell ref="G988:H988"/>
    <mergeCell ref="G1330:H1330"/>
    <mergeCell ref="G1331:H1331"/>
    <mergeCell ref="G1060:H1060"/>
    <mergeCell ref="G1032:H1032"/>
    <mergeCell ref="G1033:H1033"/>
    <mergeCell ref="G1034:H1034"/>
    <mergeCell ref="G1035:H1035"/>
    <mergeCell ref="G1043:H1043"/>
    <mergeCell ref="G1044:H1044"/>
    <mergeCell ref="G1048:H1048"/>
    <mergeCell ref="D507:F507"/>
    <mergeCell ref="D508:F508"/>
    <mergeCell ref="D509:F509"/>
    <mergeCell ref="B514:F514"/>
    <mergeCell ref="D510:F510"/>
    <mergeCell ref="B507:C509"/>
    <mergeCell ref="B513:F513"/>
    <mergeCell ref="D511:F511"/>
    <mergeCell ref="D512:F512"/>
    <mergeCell ref="G275:H275"/>
    <mergeCell ref="G456:H456"/>
    <mergeCell ref="G453:H453"/>
    <mergeCell ref="G426:H426"/>
    <mergeCell ref="G449:H449"/>
    <mergeCell ref="G450:H450"/>
    <mergeCell ref="G383:H383"/>
    <mergeCell ref="G413:H413"/>
    <mergeCell ref="G422:H422"/>
    <mergeCell ref="G415:H415"/>
    <mergeCell ref="N10:N11"/>
    <mergeCell ref="N18:N19"/>
    <mergeCell ref="N25:N26"/>
    <mergeCell ref="G237:H237"/>
    <mergeCell ref="G146:H146"/>
    <mergeCell ref="G147:H147"/>
    <mergeCell ref="G144:H144"/>
    <mergeCell ref="G145:H145"/>
    <mergeCell ref="G184:H184"/>
    <mergeCell ref="G185:H185"/>
    <mergeCell ref="B506:F506"/>
    <mergeCell ref="C496:C501"/>
    <mergeCell ref="D496:D501"/>
    <mergeCell ref="E497:F498"/>
    <mergeCell ref="E500:F501"/>
    <mergeCell ref="B505:F505"/>
    <mergeCell ref="B502:F502"/>
    <mergeCell ref="B503:F503"/>
    <mergeCell ref="B504:F504"/>
    <mergeCell ref="G507:H507"/>
    <mergeCell ref="G510:H510"/>
    <mergeCell ref="G508:H508"/>
    <mergeCell ref="G600:H600"/>
    <mergeCell ref="G535:I535"/>
    <mergeCell ref="G560:H560"/>
    <mergeCell ref="G548:H548"/>
    <mergeCell ref="G572:H572"/>
    <mergeCell ref="G573:H573"/>
    <mergeCell ref="G574:H574"/>
    <mergeCell ref="G644:H644"/>
    <mergeCell ref="G645:H645"/>
    <mergeCell ref="G643:H643"/>
    <mergeCell ref="G634:H634"/>
    <mergeCell ref="G639:H639"/>
    <mergeCell ref="G640:H640"/>
    <mergeCell ref="G651:H651"/>
    <mergeCell ref="G646:I646"/>
    <mergeCell ref="G647:H647"/>
    <mergeCell ref="G661:H661"/>
    <mergeCell ref="G648:H648"/>
    <mergeCell ref="G668:H668"/>
    <mergeCell ref="G571:H571"/>
    <mergeCell ref="G558:I558"/>
    <mergeCell ref="G577:H577"/>
    <mergeCell ref="G599:H599"/>
    <mergeCell ref="G594:H594"/>
    <mergeCell ref="G593:H593"/>
    <mergeCell ref="G567:H567"/>
    <mergeCell ref="G595:H595"/>
    <mergeCell ref="G588:H588"/>
    <mergeCell ref="G697:H697"/>
    <mergeCell ref="G698:I698"/>
    <mergeCell ref="G662:H662"/>
    <mergeCell ref="G679:H679"/>
    <mergeCell ref="G676:H676"/>
    <mergeCell ref="G677:H677"/>
    <mergeCell ref="G678:H678"/>
    <mergeCell ref="G666:H666"/>
    <mergeCell ref="G665:H665"/>
    <mergeCell ref="G667:H667"/>
    <mergeCell ref="G660:H660"/>
    <mergeCell ref="G705:H705"/>
    <mergeCell ref="G703:H703"/>
    <mergeCell ref="G701:H701"/>
    <mergeCell ref="G702:H702"/>
    <mergeCell ref="G704:H704"/>
    <mergeCell ref="G699:H699"/>
    <mergeCell ref="G700:H700"/>
    <mergeCell ref="G695:H695"/>
    <mergeCell ref="G696:H696"/>
    <mergeCell ref="G659:H659"/>
    <mergeCell ref="G655:H655"/>
    <mergeCell ref="G652:H652"/>
    <mergeCell ref="G653:H653"/>
    <mergeCell ref="G654:I654"/>
    <mergeCell ref="G706:H706"/>
    <mergeCell ref="G709:H709"/>
    <mergeCell ref="G802:H802"/>
    <mergeCell ref="G871:H871"/>
    <mergeCell ref="G710:H710"/>
    <mergeCell ref="G711:H711"/>
    <mergeCell ref="G712:H712"/>
    <mergeCell ref="G743:H743"/>
    <mergeCell ref="G720:H720"/>
    <mergeCell ref="G721:H721"/>
    <mergeCell ref="G723:H723"/>
    <mergeCell ref="B1064:F1064"/>
    <mergeCell ref="G1064:H1064"/>
    <mergeCell ref="B1062:F1062"/>
    <mergeCell ref="G1062:H1062"/>
    <mergeCell ref="B1063:F1063"/>
    <mergeCell ref="G1063:H1063"/>
    <mergeCell ref="B795:F795"/>
    <mergeCell ref="G795:H795"/>
    <mergeCell ref="G853:H853"/>
    <mergeCell ref="G852:H852"/>
    <mergeCell ref="G805:H805"/>
    <mergeCell ref="G847:H847"/>
    <mergeCell ref="B1065:C1067"/>
    <mergeCell ref="D1065:F1065"/>
    <mergeCell ref="G1065:H1065"/>
    <mergeCell ref="D1066:F1066"/>
    <mergeCell ref="G1066:H1066"/>
    <mergeCell ref="D1067:F1067"/>
    <mergeCell ref="G1067:H1067"/>
    <mergeCell ref="D1068:F1068"/>
    <mergeCell ref="G1068:H1068"/>
    <mergeCell ref="D1069:F1069"/>
    <mergeCell ref="G1069:H1069"/>
    <mergeCell ref="D1070:F1070"/>
    <mergeCell ref="G1070:I1070"/>
    <mergeCell ref="D1071:F1071"/>
    <mergeCell ref="G1071:I1071"/>
    <mergeCell ref="B1072:F1072"/>
    <mergeCell ref="G1072:H1072"/>
    <mergeCell ref="B1073:F1073"/>
    <mergeCell ref="G1073:H1073"/>
    <mergeCell ref="B1169:B1178"/>
    <mergeCell ref="B1074:F1074"/>
    <mergeCell ref="G1074:H1074"/>
    <mergeCell ref="B1075:F1075"/>
    <mergeCell ref="G1075:I1075"/>
    <mergeCell ref="G1165:H1165"/>
    <mergeCell ref="G1166:H1166"/>
    <mergeCell ref="G1167:H1167"/>
    <mergeCell ref="G1168:I1168"/>
    <mergeCell ref="G1158:H1158"/>
    <mergeCell ref="G1345:H1345"/>
    <mergeCell ref="B1076:F1076"/>
    <mergeCell ref="G1076:H1076"/>
    <mergeCell ref="B1341:F1341"/>
    <mergeCell ref="G1341:H1341"/>
    <mergeCell ref="C1157:C1163"/>
    <mergeCell ref="B1157:B1164"/>
    <mergeCell ref="C1165:C1168"/>
    <mergeCell ref="D1165:D1168"/>
    <mergeCell ref="B1165:B1168"/>
    <mergeCell ref="G1342:H1342"/>
    <mergeCell ref="B1343:F1343"/>
    <mergeCell ref="G1343:H1343"/>
    <mergeCell ref="D1344:F1344"/>
    <mergeCell ref="G1344:H1344"/>
    <mergeCell ref="G1347:H1347"/>
    <mergeCell ref="D1348:F1348"/>
    <mergeCell ref="G1348:H1348"/>
    <mergeCell ref="D1346:F1346"/>
    <mergeCell ref="G1346:H1346"/>
    <mergeCell ref="G1351:H1351"/>
    <mergeCell ref="B1352:F1352"/>
    <mergeCell ref="G1352:H1352"/>
    <mergeCell ref="D1349:F1349"/>
    <mergeCell ref="G1349:I1349"/>
    <mergeCell ref="D1350:F1350"/>
    <mergeCell ref="G1350:I1350"/>
    <mergeCell ref="G209:H209"/>
    <mergeCell ref="G210:H210"/>
    <mergeCell ref="G218:H218"/>
    <mergeCell ref="G219:H219"/>
    <mergeCell ref="G226:H226"/>
    <mergeCell ref="G227:H227"/>
    <mergeCell ref="G41:H41"/>
    <mergeCell ref="G40:H40"/>
    <mergeCell ref="G179:H179"/>
    <mergeCell ref="G178:H178"/>
    <mergeCell ref="G180:H180"/>
    <mergeCell ref="G181:H181"/>
    <mergeCell ref="G182:H182"/>
    <mergeCell ref="G183:H183"/>
    <mergeCell ref="G163:H163"/>
    <mergeCell ref="G162:H162"/>
    <mergeCell ref="G161:H161"/>
    <mergeCell ref="G197:H197"/>
    <mergeCell ref="G169:H169"/>
    <mergeCell ref="G170:H170"/>
    <mergeCell ref="G168:H168"/>
    <mergeCell ref="G167:H167"/>
    <mergeCell ref="G164:H164"/>
    <mergeCell ref="G194:H194"/>
    <mergeCell ref="G768:H768"/>
    <mergeCell ref="G764:H764"/>
    <mergeCell ref="G753:H753"/>
    <mergeCell ref="G754:H754"/>
    <mergeCell ref="G755:H755"/>
    <mergeCell ref="G756:H756"/>
    <mergeCell ref="G765:H765"/>
    <mergeCell ref="G767:H767"/>
    <mergeCell ref="G766:H766"/>
    <mergeCell ref="G750:H750"/>
    <mergeCell ref="G726:H726"/>
    <mergeCell ref="G727:H727"/>
    <mergeCell ref="G728:H728"/>
    <mergeCell ref="G729:H729"/>
    <mergeCell ref="G747:H747"/>
    <mergeCell ref="G732:H732"/>
    <mergeCell ref="G733:H733"/>
    <mergeCell ref="G734:I734"/>
    <mergeCell ref="G838:H838"/>
    <mergeCell ref="G806:H806"/>
    <mergeCell ref="G836:H836"/>
    <mergeCell ref="G825:I825"/>
    <mergeCell ref="G826:H826"/>
    <mergeCell ref="G827:H827"/>
    <mergeCell ref="G817:H817"/>
    <mergeCell ref="G818:H818"/>
    <mergeCell ref="G815:H815"/>
    <mergeCell ref="G813:H813"/>
    <mergeCell ref="G869:H869"/>
    <mergeCell ref="G870:H870"/>
    <mergeCell ref="G872:H872"/>
    <mergeCell ref="G890:H890"/>
    <mergeCell ref="G888:H888"/>
    <mergeCell ref="G883:H883"/>
    <mergeCell ref="G884:H884"/>
    <mergeCell ref="G873:H873"/>
    <mergeCell ref="G874:H874"/>
    <mergeCell ref="G875:H875"/>
    <mergeCell ref="G857:H857"/>
    <mergeCell ref="G856:H856"/>
    <mergeCell ref="G885:H885"/>
    <mergeCell ref="G876:H876"/>
    <mergeCell ref="G859:H859"/>
    <mergeCell ref="G878:H878"/>
    <mergeCell ref="G879:H879"/>
    <mergeCell ref="G867:H867"/>
    <mergeCell ref="G868:H868"/>
    <mergeCell ref="G858:H858"/>
    <mergeCell ref="G1028:H1028"/>
    <mergeCell ref="G1023:H1023"/>
    <mergeCell ref="G1022:H1022"/>
    <mergeCell ref="G1026:H1026"/>
    <mergeCell ref="G1027:H1027"/>
    <mergeCell ref="G1024:H1024"/>
    <mergeCell ref="G1025:H1025"/>
    <mergeCell ref="G1011:H1011"/>
    <mergeCell ref="G1012:H1012"/>
    <mergeCell ref="G1013:I1013"/>
    <mergeCell ref="G1014:H1014"/>
    <mergeCell ref="Q242:S253"/>
    <mergeCell ref="C261:C264"/>
    <mergeCell ref="M254:M264"/>
    <mergeCell ref="G252:H252"/>
    <mergeCell ref="G250:H250"/>
    <mergeCell ref="G251:H251"/>
    <mergeCell ref="D246:F246"/>
    <mergeCell ref="G246:H246"/>
    <mergeCell ref="G244:H244"/>
    <mergeCell ref="M242:M253"/>
    <mergeCell ref="G261:H261"/>
    <mergeCell ref="J254:J264"/>
    <mergeCell ref="L254:L264"/>
    <mergeCell ref="G262:H262"/>
    <mergeCell ref="G263:I263"/>
    <mergeCell ref="K254:K264"/>
    <mergeCell ref="G254:H254"/>
    <mergeCell ref="G257:H257"/>
    <mergeCell ref="G259:H259"/>
    <mergeCell ref="Q254:R264"/>
    <mergeCell ref="C272:C275"/>
    <mergeCell ref="B265:B275"/>
    <mergeCell ref="J265:J275"/>
    <mergeCell ref="L265:L275"/>
    <mergeCell ref="M265:M275"/>
    <mergeCell ref="Q265:R275"/>
    <mergeCell ref="G272:H272"/>
    <mergeCell ref="G273:H273"/>
    <mergeCell ref="B254:B264"/>
    <mergeCell ref="C288:C297"/>
    <mergeCell ref="C298:C308"/>
    <mergeCell ref="C309:C319"/>
    <mergeCell ref="J320:J331"/>
    <mergeCell ref="J309:J310"/>
    <mergeCell ref="J292:J293"/>
    <mergeCell ref="J294:J295"/>
    <mergeCell ref="G288:H288"/>
    <mergeCell ref="J313:J314"/>
    <mergeCell ref="G294:H294"/>
    <mergeCell ref="D288:D297"/>
    <mergeCell ref="D298:D308"/>
    <mergeCell ref="D309:D316"/>
    <mergeCell ref="D317:D319"/>
    <mergeCell ref="B276:B283"/>
    <mergeCell ref="B284:B287"/>
    <mergeCell ref="B288:B297"/>
    <mergeCell ref="B298:B308"/>
    <mergeCell ref="B309:B319"/>
    <mergeCell ref="D342:D352"/>
    <mergeCell ref="D353:D360"/>
    <mergeCell ref="G328:H328"/>
    <mergeCell ref="G329:H329"/>
    <mergeCell ref="G330:H330"/>
    <mergeCell ref="G331:I331"/>
    <mergeCell ref="C320:C327"/>
    <mergeCell ref="D320:D327"/>
    <mergeCell ref="D332:D341"/>
    <mergeCell ref="B320:B327"/>
    <mergeCell ref="D328:D331"/>
    <mergeCell ref="C328:C331"/>
    <mergeCell ref="B328:B331"/>
    <mergeCell ref="D386:D396"/>
    <mergeCell ref="D397:D404"/>
    <mergeCell ref="D361:D363"/>
    <mergeCell ref="C342:C352"/>
    <mergeCell ref="C353:C363"/>
    <mergeCell ref="D364:D371"/>
    <mergeCell ref="C376:C385"/>
    <mergeCell ref="C386:C396"/>
    <mergeCell ref="C397:C407"/>
    <mergeCell ref="D405:D407"/>
    <mergeCell ref="D372:D375"/>
    <mergeCell ref="C372:C375"/>
    <mergeCell ref="B332:B341"/>
    <mergeCell ref="B342:B352"/>
    <mergeCell ref="B353:B363"/>
    <mergeCell ref="B364:B371"/>
    <mergeCell ref="B372:B375"/>
    <mergeCell ref="C364:C371"/>
    <mergeCell ref="C332:C341"/>
    <mergeCell ref="D376:D385"/>
    <mergeCell ref="B376:B385"/>
    <mergeCell ref="G372:H372"/>
    <mergeCell ref="G373:H373"/>
    <mergeCell ref="G374:H374"/>
    <mergeCell ref="G375:I375"/>
    <mergeCell ref="G377:H377"/>
    <mergeCell ref="G380:H380"/>
    <mergeCell ref="G381:H381"/>
    <mergeCell ref="G382:H382"/>
    <mergeCell ref="J364:J375"/>
    <mergeCell ref="L364:L375"/>
    <mergeCell ref="M364:M375"/>
    <mergeCell ref="Q364:T375"/>
    <mergeCell ref="N364:N366"/>
    <mergeCell ref="O364:O366"/>
    <mergeCell ref="P364:P366"/>
    <mergeCell ref="K364:K375"/>
    <mergeCell ref="D408:D415"/>
    <mergeCell ref="C408:C415"/>
    <mergeCell ref="B408:B415"/>
    <mergeCell ref="Q408:T419"/>
    <mergeCell ref="J408:J419"/>
    <mergeCell ref="L408:L419"/>
    <mergeCell ref="M408:M419"/>
    <mergeCell ref="G416:H416"/>
    <mergeCell ref="G417:H417"/>
    <mergeCell ref="G418:H418"/>
    <mergeCell ref="D430:D440"/>
    <mergeCell ref="D441:D448"/>
    <mergeCell ref="D420:D429"/>
    <mergeCell ref="G430:H430"/>
    <mergeCell ref="G431:H431"/>
    <mergeCell ref="G432:H432"/>
    <mergeCell ref="G433:H433"/>
    <mergeCell ref="G441:H441"/>
    <mergeCell ref="G442:H442"/>
    <mergeCell ref="G443:H443"/>
    <mergeCell ref="D449:D451"/>
    <mergeCell ref="C441:C451"/>
    <mergeCell ref="C430:C440"/>
    <mergeCell ref="B416:B419"/>
    <mergeCell ref="B420:B429"/>
    <mergeCell ref="B430:B440"/>
    <mergeCell ref="B441:B451"/>
    <mergeCell ref="C416:C419"/>
    <mergeCell ref="D416:D419"/>
    <mergeCell ref="C420:C429"/>
    <mergeCell ref="D460:D463"/>
    <mergeCell ref="C460:C463"/>
    <mergeCell ref="C452:C459"/>
    <mergeCell ref="D452:D459"/>
    <mergeCell ref="D464:D473"/>
    <mergeCell ref="D474:D484"/>
    <mergeCell ref="D485:D492"/>
    <mergeCell ref="D493:D495"/>
    <mergeCell ref="C485:C495"/>
    <mergeCell ref="C474:C484"/>
    <mergeCell ref="C464:C473"/>
    <mergeCell ref="B452:B459"/>
    <mergeCell ref="B460:B463"/>
    <mergeCell ref="B464:B473"/>
    <mergeCell ref="B474:B484"/>
    <mergeCell ref="B485:B495"/>
    <mergeCell ref="B599:B606"/>
    <mergeCell ref="C599:C606"/>
    <mergeCell ref="D599:D606"/>
    <mergeCell ref="C607:C610"/>
    <mergeCell ref="D607:D610"/>
    <mergeCell ref="Q599:T610"/>
    <mergeCell ref="M599:M610"/>
    <mergeCell ref="L599:L610"/>
    <mergeCell ref="J599:J610"/>
    <mergeCell ref="O599:O601"/>
    <mergeCell ref="P599:P601"/>
    <mergeCell ref="K599:K610"/>
    <mergeCell ref="N599:N601"/>
    <mergeCell ref="D611:D620"/>
    <mergeCell ref="C611:C620"/>
    <mergeCell ref="D621:D631"/>
    <mergeCell ref="D632:D639"/>
    <mergeCell ref="D640:D642"/>
    <mergeCell ref="C632:C642"/>
    <mergeCell ref="C621:C631"/>
    <mergeCell ref="B621:B631"/>
    <mergeCell ref="B632:B642"/>
    <mergeCell ref="B611:B620"/>
    <mergeCell ref="B607:B610"/>
    <mergeCell ref="B643:B650"/>
    <mergeCell ref="C643:C650"/>
    <mergeCell ref="D643:D650"/>
    <mergeCell ref="D651:D654"/>
    <mergeCell ref="C651:C654"/>
    <mergeCell ref="B651:B654"/>
    <mergeCell ref="Q643:T654"/>
    <mergeCell ref="J643:J654"/>
    <mergeCell ref="L643:L654"/>
    <mergeCell ref="M643:M654"/>
    <mergeCell ref="O643:O645"/>
    <mergeCell ref="K643:K654"/>
    <mergeCell ref="D655:D664"/>
    <mergeCell ref="D665:D675"/>
    <mergeCell ref="D676:D683"/>
    <mergeCell ref="D684:D686"/>
    <mergeCell ref="C665:C675"/>
    <mergeCell ref="C655:C664"/>
    <mergeCell ref="B655:B664"/>
    <mergeCell ref="B665:B675"/>
    <mergeCell ref="B687:B694"/>
    <mergeCell ref="D695:D698"/>
    <mergeCell ref="C695:C698"/>
    <mergeCell ref="C676:C686"/>
    <mergeCell ref="B676:B686"/>
    <mergeCell ref="Q687:T698"/>
    <mergeCell ref="K687:K698"/>
    <mergeCell ref="D687:D694"/>
    <mergeCell ref="C687:C694"/>
    <mergeCell ref="G693:H693"/>
    <mergeCell ref="G694:H694"/>
    <mergeCell ref="G692:H692"/>
    <mergeCell ref="G690:I690"/>
    <mergeCell ref="G687:H687"/>
    <mergeCell ref="G689:H689"/>
    <mergeCell ref="C709:C719"/>
    <mergeCell ref="C699:C708"/>
    <mergeCell ref="C720:C730"/>
    <mergeCell ref="D699:D708"/>
    <mergeCell ref="D709:D719"/>
    <mergeCell ref="D720:D727"/>
    <mergeCell ref="D728:D730"/>
    <mergeCell ref="B699:B708"/>
    <mergeCell ref="B709:B719"/>
    <mergeCell ref="B720:B730"/>
    <mergeCell ref="B695:B698"/>
    <mergeCell ref="B731:B738"/>
    <mergeCell ref="B739:B742"/>
    <mergeCell ref="D743:D752"/>
    <mergeCell ref="C743:C752"/>
    <mergeCell ref="B743:B752"/>
    <mergeCell ref="C731:C738"/>
    <mergeCell ref="D731:D738"/>
    <mergeCell ref="D739:D742"/>
    <mergeCell ref="C739:C742"/>
    <mergeCell ref="C753:C763"/>
    <mergeCell ref="B753:B763"/>
    <mergeCell ref="D764:D771"/>
    <mergeCell ref="D772:D774"/>
    <mergeCell ref="C764:C774"/>
    <mergeCell ref="B764:B774"/>
    <mergeCell ref="D753:D763"/>
    <mergeCell ref="B386:B396"/>
    <mergeCell ref="B397:B407"/>
    <mergeCell ref="D792:F792"/>
    <mergeCell ref="Q800:S811"/>
    <mergeCell ref="G563:H563"/>
    <mergeCell ref="G564:H564"/>
    <mergeCell ref="G551:H551"/>
    <mergeCell ref="G552:H552"/>
    <mergeCell ref="G553:I553"/>
    <mergeCell ref="G554:H554"/>
    <mergeCell ref="Q812:R822"/>
    <mergeCell ref="C808:C811"/>
    <mergeCell ref="B800:B811"/>
    <mergeCell ref="C819:C822"/>
    <mergeCell ref="B812:B822"/>
    <mergeCell ref="J812:J822"/>
    <mergeCell ref="L812:L822"/>
    <mergeCell ref="G804:H804"/>
    <mergeCell ref="G800:H800"/>
    <mergeCell ref="G803:I803"/>
    <mergeCell ref="B823:B833"/>
    <mergeCell ref="C830:C833"/>
    <mergeCell ref="J823:J833"/>
    <mergeCell ref="L823:L833"/>
    <mergeCell ref="C823:C829"/>
    <mergeCell ref="G833:H833"/>
    <mergeCell ref="G830:H830"/>
    <mergeCell ref="G831:H831"/>
    <mergeCell ref="G832:I832"/>
    <mergeCell ref="G823:H823"/>
    <mergeCell ref="Q823:R833"/>
    <mergeCell ref="D834:D841"/>
    <mergeCell ref="C834:C841"/>
    <mergeCell ref="L834:L845"/>
    <mergeCell ref="M834:M845"/>
    <mergeCell ref="Q834:T845"/>
    <mergeCell ref="G839:H839"/>
    <mergeCell ref="N834:N836"/>
    <mergeCell ref="O834:O836"/>
    <mergeCell ref="P834:P836"/>
    <mergeCell ref="B834:B841"/>
    <mergeCell ref="D842:D845"/>
    <mergeCell ref="C842:C845"/>
    <mergeCell ref="J834:J845"/>
    <mergeCell ref="B842:B845"/>
    <mergeCell ref="G841:H841"/>
    <mergeCell ref="G840:H840"/>
    <mergeCell ref="G842:H842"/>
    <mergeCell ref="G843:H843"/>
    <mergeCell ref="G844:H844"/>
    <mergeCell ref="D846:D855"/>
    <mergeCell ref="D856:D866"/>
    <mergeCell ref="D867:D874"/>
    <mergeCell ref="D875:D877"/>
    <mergeCell ref="B878:B885"/>
    <mergeCell ref="B886:B889"/>
    <mergeCell ref="Q878:T889"/>
    <mergeCell ref="J878:J889"/>
    <mergeCell ref="L878:L889"/>
    <mergeCell ref="M878:M889"/>
    <mergeCell ref="D886:D889"/>
    <mergeCell ref="C886:C889"/>
    <mergeCell ref="D878:D885"/>
    <mergeCell ref="C878:C885"/>
    <mergeCell ref="D890:D899"/>
    <mergeCell ref="D900:D910"/>
    <mergeCell ref="D911:D918"/>
    <mergeCell ref="D919:D921"/>
    <mergeCell ref="C900:C910"/>
    <mergeCell ref="C890:C899"/>
    <mergeCell ref="B890:B899"/>
    <mergeCell ref="B900:B910"/>
    <mergeCell ref="B922:B929"/>
    <mergeCell ref="D930:D933"/>
    <mergeCell ref="C930:C933"/>
    <mergeCell ref="C911:C921"/>
    <mergeCell ref="B911:B921"/>
    <mergeCell ref="C944:C954"/>
    <mergeCell ref="Q922:T933"/>
    <mergeCell ref="J922:J933"/>
    <mergeCell ref="L922:L933"/>
    <mergeCell ref="M922:M933"/>
    <mergeCell ref="D922:D929"/>
    <mergeCell ref="C922:C929"/>
    <mergeCell ref="G945:H945"/>
    <mergeCell ref="G946:H946"/>
    <mergeCell ref="G947:H947"/>
    <mergeCell ref="B955:B965"/>
    <mergeCell ref="B944:B954"/>
    <mergeCell ref="C955:C965"/>
    <mergeCell ref="D974:D977"/>
    <mergeCell ref="C974:C977"/>
    <mergeCell ref="D966:D973"/>
    <mergeCell ref="C966:C973"/>
    <mergeCell ref="B966:B973"/>
    <mergeCell ref="B974:B977"/>
    <mergeCell ref="D963:D965"/>
    <mergeCell ref="D978:D987"/>
    <mergeCell ref="C978:C987"/>
    <mergeCell ref="B978:B987"/>
    <mergeCell ref="D988:D998"/>
    <mergeCell ref="C988:C998"/>
    <mergeCell ref="B988:B998"/>
    <mergeCell ref="D999:D1006"/>
    <mergeCell ref="B999:B1009"/>
    <mergeCell ref="C999:C1009"/>
    <mergeCell ref="D1007:D1009"/>
    <mergeCell ref="Q1157:T1168"/>
    <mergeCell ref="D1169:D1178"/>
    <mergeCell ref="D1179:D1189"/>
    <mergeCell ref="D1190:D1197"/>
    <mergeCell ref="D1157:D1164"/>
    <mergeCell ref="O1194:O1195"/>
    <mergeCell ref="P1194:P1195"/>
    <mergeCell ref="J1196:J1197"/>
    <mergeCell ref="L1196:L1197"/>
    <mergeCell ref="M1196:M1197"/>
    <mergeCell ref="B1179:B1189"/>
    <mergeCell ref="B1190:B1200"/>
    <mergeCell ref="J1201:J1212"/>
    <mergeCell ref="D1209:D1212"/>
    <mergeCell ref="C1209:C1212"/>
    <mergeCell ref="D1198:D1200"/>
    <mergeCell ref="C1190:C1200"/>
    <mergeCell ref="C1179:C1189"/>
    <mergeCell ref="B1201:B1208"/>
    <mergeCell ref="B1209:B1212"/>
    <mergeCell ref="C1169:C1178"/>
    <mergeCell ref="Q1201:T1212"/>
    <mergeCell ref="D1201:D1208"/>
    <mergeCell ref="C1201:C1208"/>
    <mergeCell ref="P1201:P1203"/>
    <mergeCell ref="G1202:H1202"/>
    <mergeCell ref="G1203:H1203"/>
    <mergeCell ref="G1204:I1204"/>
    <mergeCell ref="G1205:H1205"/>
    <mergeCell ref="G1193:H1193"/>
    <mergeCell ref="B1234:B1244"/>
    <mergeCell ref="D1213:D1222"/>
    <mergeCell ref="C1213:C1222"/>
    <mergeCell ref="B1213:B1222"/>
    <mergeCell ref="D1223:D1233"/>
    <mergeCell ref="C1223:C1233"/>
    <mergeCell ref="B1223:B1233"/>
    <mergeCell ref="D1253:D1256"/>
    <mergeCell ref="D1245:D1252"/>
    <mergeCell ref="C1245:C1252"/>
    <mergeCell ref="D1234:D1241"/>
    <mergeCell ref="D1242:D1244"/>
    <mergeCell ref="C1234:C1244"/>
    <mergeCell ref="Q1245:T1256"/>
    <mergeCell ref="B1253:B1256"/>
    <mergeCell ref="D1257:D1266"/>
    <mergeCell ref="C1257:C1266"/>
    <mergeCell ref="B1257:B1266"/>
    <mergeCell ref="B1245:B1252"/>
    <mergeCell ref="J1245:J1256"/>
    <mergeCell ref="L1245:L1256"/>
    <mergeCell ref="M1245:M1256"/>
    <mergeCell ref="C1253:C1256"/>
    <mergeCell ref="B1267:B1277"/>
    <mergeCell ref="D1278:D1285"/>
    <mergeCell ref="B1278:B1288"/>
    <mergeCell ref="C1278:C1288"/>
    <mergeCell ref="D1286:D1288"/>
    <mergeCell ref="D1289:D1296"/>
    <mergeCell ref="C1289:C1296"/>
    <mergeCell ref="D1267:D1277"/>
    <mergeCell ref="C1267:C1277"/>
    <mergeCell ref="Q1289:T1300"/>
    <mergeCell ref="D1301:D1310"/>
    <mergeCell ref="C1301:C1310"/>
    <mergeCell ref="B1301:B1310"/>
    <mergeCell ref="B1289:B1296"/>
    <mergeCell ref="B1297:B1300"/>
    <mergeCell ref="J1289:J1300"/>
    <mergeCell ref="L1289:L1300"/>
    <mergeCell ref="C1297:C1300"/>
    <mergeCell ref="D1297:D1300"/>
    <mergeCell ref="B1311:B1321"/>
    <mergeCell ref="C1311:C1321"/>
    <mergeCell ref="D1311:D1321"/>
    <mergeCell ref="D1322:D1329"/>
    <mergeCell ref="D1330:D1332"/>
    <mergeCell ref="C1322:C1332"/>
    <mergeCell ref="B1322:B1332"/>
    <mergeCell ref="B1355:F1355"/>
    <mergeCell ref="B1351:F1351"/>
    <mergeCell ref="D1347:F1347"/>
    <mergeCell ref="B1342:F1342"/>
    <mergeCell ref="D1345:F1345"/>
    <mergeCell ref="B1333:B1338"/>
    <mergeCell ref="C1333:C1338"/>
    <mergeCell ref="G1355:H1355"/>
    <mergeCell ref="B1353:F1353"/>
    <mergeCell ref="G1353:H1353"/>
    <mergeCell ref="B1354:F1354"/>
    <mergeCell ref="G1354:I1354"/>
    <mergeCell ref="G540:H540"/>
    <mergeCell ref="G541:H541"/>
    <mergeCell ref="G542:I542"/>
    <mergeCell ref="G543:H543"/>
    <mergeCell ref="G529:H529"/>
    <mergeCell ref="G530:H530"/>
    <mergeCell ref="G531:H531"/>
    <mergeCell ref="G532:I532"/>
    <mergeCell ref="G1279:H1279"/>
    <mergeCell ref="G1280:H1280"/>
    <mergeCell ref="G1262:H1262"/>
    <mergeCell ref="G1263:H1263"/>
    <mergeCell ref="G1270:H1270"/>
    <mergeCell ref="G1278:H1278"/>
    <mergeCell ref="G1264:H1264"/>
    <mergeCell ref="G1267:H1267"/>
    <mergeCell ref="G1268:H1268"/>
    <mergeCell ref="G1269:H1269"/>
    <mergeCell ref="G1261:H1261"/>
    <mergeCell ref="G1121:H1121"/>
    <mergeCell ref="G1122:H1122"/>
    <mergeCell ref="G1123:H1123"/>
    <mergeCell ref="G1124:I1124"/>
    <mergeCell ref="G1162:H1162"/>
    <mergeCell ref="G1163:H1163"/>
    <mergeCell ref="G1206:H1206"/>
    <mergeCell ref="G1194:H1194"/>
    <mergeCell ref="G1195:H1195"/>
    <mergeCell ref="J579:J580"/>
    <mergeCell ref="O1072:P1072"/>
    <mergeCell ref="G1260:H1260"/>
    <mergeCell ref="G1196:H1196"/>
    <mergeCell ref="G1197:H1197"/>
    <mergeCell ref="M812:M822"/>
    <mergeCell ref="J687:J698"/>
    <mergeCell ref="L687:L698"/>
    <mergeCell ref="M687:M698"/>
    <mergeCell ref="G1208:H1208"/>
    <mergeCell ref="J577:J578"/>
    <mergeCell ref="K577:K578"/>
    <mergeCell ref="G589:H589"/>
    <mergeCell ref="G1207:H1207"/>
    <mergeCell ref="G891:H891"/>
    <mergeCell ref="K636:K637"/>
    <mergeCell ref="K638:K639"/>
    <mergeCell ref="K665:K666"/>
    <mergeCell ref="K667:K668"/>
    <mergeCell ref="K676:K677"/>
    <mergeCell ref="G895:H895"/>
    <mergeCell ref="G896:H896"/>
    <mergeCell ref="G897:H897"/>
    <mergeCell ref="G1164:H1164"/>
    <mergeCell ref="G1147:H1147"/>
    <mergeCell ref="G1136:H1136"/>
    <mergeCell ref="G1045:H1045"/>
    <mergeCell ref="G1046:H1046"/>
    <mergeCell ref="G1047:H1047"/>
    <mergeCell ref="G1010:H1010"/>
    <mergeCell ref="C3:I4"/>
    <mergeCell ref="C5:I6"/>
    <mergeCell ref="L792:N792"/>
    <mergeCell ref="O793:P793"/>
    <mergeCell ref="L513:N513"/>
    <mergeCell ref="O514:P514"/>
    <mergeCell ref="K106:K108"/>
    <mergeCell ref="K109:K116"/>
    <mergeCell ref="K117:K118"/>
    <mergeCell ref="K121:K122"/>
    <mergeCell ref="G1209:H1209"/>
    <mergeCell ref="G1210:H1210"/>
    <mergeCell ref="K66:K68"/>
    <mergeCell ref="K98:K99"/>
    <mergeCell ref="K100:K101"/>
    <mergeCell ref="K102:K103"/>
    <mergeCell ref="K83:K84"/>
    <mergeCell ref="K87:K88"/>
    <mergeCell ref="K89:K90"/>
    <mergeCell ref="K104:K105"/>
    <mergeCell ref="K123:K124"/>
    <mergeCell ref="K127:K128"/>
    <mergeCell ref="K129:K130"/>
    <mergeCell ref="K140:K141"/>
    <mergeCell ref="K142:K143"/>
    <mergeCell ref="K144:K145"/>
    <mergeCell ref="K146:K148"/>
    <mergeCell ref="K149:K156"/>
    <mergeCell ref="K157:K158"/>
    <mergeCell ref="K159:K160"/>
    <mergeCell ref="K161:K162"/>
    <mergeCell ref="K163:K164"/>
    <mergeCell ref="K167:K168"/>
    <mergeCell ref="K169:K170"/>
    <mergeCell ref="K178:K179"/>
    <mergeCell ref="K180:K181"/>
    <mergeCell ref="K182:K183"/>
    <mergeCell ref="K184:K185"/>
    <mergeCell ref="K186:K188"/>
    <mergeCell ref="K220:K221"/>
    <mergeCell ref="K189:K196"/>
    <mergeCell ref="K197:K198"/>
    <mergeCell ref="K199:K200"/>
    <mergeCell ref="K201:K202"/>
    <mergeCell ref="J232:L232"/>
    <mergeCell ref="J231:L231"/>
    <mergeCell ref="J230:L230"/>
    <mergeCell ref="J229:L229"/>
    <mergeCell ref="J241:K241"/>
    <mergeCell ref="K265:K275"/>
    <mergeCell ref="K276:K287"/>
    <mergeCell ref="K288:K289"/>
    <mergeCell ref="K313:K314"/>
    <mergeCell ref="K315:K316"/>
    <mergeCell ref="K317:K319"/>
    <mergeCell ref="K311:K312"/>
    <mergeCell ref="K320:K331"/>
    <mergeCell ref="K332:K333"/>
    <mergeCell ref="K359:K360"/>
    <mergeCell ref="K361:K363"/>
    <mergeCell ref="K357:K358"/>
    <mergeCell ref="K334:K335"/>
    <mergeCell ref="K336:K337"/>
    <mergeCell ref="K338:K339"/>
    <mergeCell ref="K342:K343"/>
    <mergeCell ref="K344:K345"/>
    <mergeCell ref="K399:K400"/>
    <mergeCell ref="K401:K402"/>
    <mergeCell ref="K408:K419"/>
    <mergeCell ref="K420:K421"/>
    <mergeCell ref="K424:K425"/>
    <mergeCell ref="K441:K442"/>
    <mergeCell ref="K443:K444"/>
    <mergeCell ref="K445:K446"/>
    <mergeCell ref="K466:K467"/>
    <mergeCell ref="K468:K469"/>
    <mergeCell ref="K470:K471"/>
    <mergeCell ref="K474:K475"/>
    <mergeCell ref="K485:K486"/>
    <mergeCell ref="K487:K488"/>
    <mergeCell ref="K489:K490"/>
    <mergeCell ref="K491:K492"/>
    <mergeCell ref="J501:L501"/>
    <mergeCell ref="J500:L500"/>
    <mergeCell ref="J499:L499"/>
    <mergeCell ref="K521:K532"/>
    <mergeCell ref="J520:K520"/>
    <mergeCell ref="J518:N518"/>
    <mergeCell ref="J517:K517"/>
    <mergeCell ref="J513:K513"/>
    <mergeCell ref="M521:M532"/>
    <mergeCell ref="L521:L532"/>
    <mergeCell ref="K533:K543"/>
    <mergeCell ref="K544:K554"/>
    <mergeCell ref="J521:J532"/>
    <mergeCell ref="K567:K568"/>
    <mergeCell ref="J567:J568"/>
    <mergeCell ref="K632:K633"/>
    <mergeCell ref="K634:K635"/>
    <mergeCell ref="K579:K580"/>
    <mergeCell ref="K588:K589"/>
    <mergeCell ref="K611:K612"/>
    <mergeCell ref="K613:K614"/>
    <mergeCell ref="K615:K616"/>
    <mergeCell ref="K617:K618"/>
    <mergeCell ref="K678:K679"/>
    <mergeCell ref="K680:K681"/>
    <mergeCell ref="K682:K683"/>
    <mergeCell ref="K684:K686"/>
    <mergeCell ref="K699:K700"/>
    <mergeCell ref="K701:K702"/>
    <mergeCell ref="K703:K704"/>
    <mergeCell ref="K705:K706"/>
    <mergeCell ref="K720:K721"/>
    <mergeCell ref="K722:K723"/>
    <mergeCell ref="K724:K725"/>
    <mergeCell ref="K726:K727"/>
    <mergeCell ref="J778:L778"/>
    <mergeCell ref="K768:K769"/>
    <mergeCell ref="K770:K771"/>
    <mergeCell ref="K772:K774"/>
    <mergeCell ref="J776:L776"/>
    <mergeCell ref="J775:L775"/>
    <mergeCell ref="M823:M833"/>
    <mergeCell ref="J780:L780"/>
    <mergeCell ref="K823:K833"/>
    <mergeCell ref="J777:L777"/>
    <mergeCell ref="L800:L811"/>
    <mergeCell ref="M800:M811"/>
    <mergeCell ref="J792:K792"/>
    <mergeCell ref="J796:K796"/>
    <mergeCell ref="J797:N797"/>
    <mergeCell ref="J779:L779"/>
    <mergeCell ref="K834:K845"/>
    <mergeCell ref="J799:K799"/>
    <mergeCell ref="K800:K811"/>
    <mergeCell ref="J800:J811"/>
    <mergeCell ref="K812:K822"/>
    <mergeCell ref="K873:K874"/>
    <mergeCell ref="K875:K877"/>
    <mergeCell ref="K850:K851"/>
    <mergeCell ref="K852:K853"/>
    <mergeCell ref="K856:K857"/>
    <mergeCell ref="K858:K859"/>
    <mergeCell ref="K867:K868"/>
    <mergeCell ref="K869:K87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施設サービス計画書</dc:title>
  <dc:subject>自動転写＆自動改頁</dc:subject>
  <dc:creator>keibow</dc:creator>
  <cp:keywords/>
  <dc:description/>
  <cp:lastModifiedBy>Administrator</cp:lastModifiedBy>
  <cp:lastPrinted>2004-09-16T06:45:21Z</cp:lastPrinted>
  <dcterms:created xsi:type="dcterms:W3CDTF">2004-05-08T08:58:02Z</dcterms:created>
  <dcterms:modified xsi:type="dcterms:W3CDTF">2004-09-16T06:46:30Z</dcterms:modified>
  <cp:category/>
  <cp:version/>
  <cp:contentType/>
  <cp:contentStatus/>
</cp:coreProperties>
</file>